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3ca257ae7b43be/Desktop/"/>
    </mc:Choice>
  </mc:AlternateContent>
  <xr:revisionPtr revIDLastSave="9" documentId="8_{1EFD1D3E-8A09-4726-AE91-3DF794EA0B66}" xr6:coauthVersionLast="47" xr6:coauthVersionMax="47" xr10:uidLastSave="{5553B0F5-04C4-4C50-9873-871CC4EB697A}"/>
  <bookViews>
    <workbookView xWindow="-108" yWindow="-108" windowWidth="23256" windowHeight="12456" xr2:uid="{14874D2B-9890-4298-935E-5C7C93FEBF93}"/>
  </bookViews>
  <sheets>
    <sheet name="HWF Select" sheetId="1" r:id="rId1"/>
  </sheets>
  <definedNames>
    <definedName name="_xlnm.Print_Area" localSheetId="0">'HWF Select'!$B$2:$J$45</definedName>
  </definedNames>
  <calcPr calcId="191029" iterateDelta="1E-4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<sst xmlns="http://schemas.openxmlformats.org/spreadsheetml/2006/main" count="92" uniqueCount="65">
  <si>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kg</t>
  </si>
  <si>
    <t>Gross Weight</t>
  </si>
  <si>
    <t>Unit Weight</t>
  </si>
  <si>
    <t>1155×410×342</t>
    <phoneticPr fontId="0" type="noConversion"/>
  </si>
  <si>
    <t>1044×374×304</t>
    <phoneticPr fontId="0" type="noConversion"/>
  </si>
  <si>
    <t>927×365×287</t>
    <phoneticPr fontId="0" type="noConversion"/>
  </si>
  <si>
    <t>mm</t>
  </si>
  <si>
    <t>1081×327×248</t>
  </si>
  <si>
    <t>972×302×224</t>
  </si>
  <si>
    <t>850×291×203</t>
  </si>
  <si>
    <t>Infrared Remote Controller (Optional: Wired Controller)</t>
  </si>
  <si>
    <t>Controller</t>
  </si>
  <si>
    <t>d16</t>
  </si>
  <si>
    <t>Copper - Aluminum</t>
  </si>
  <si>
    <t>Heat exchanger material</t>
  </si>
  <si>
    <t>2-row finned-tube</t>
  </si>
  <si>
    <t>Heat exchanger type</t>
  </si>
  <si>
    <t>EC fan motor</t>
  </si>
  <si>
    <t>Motor Type</t>
  </si>
  <si>
    <t>Cross - flow</t>
  </si>
  <si>
    <t>Fan Type</t>
  </si>
  <si>
    <t>E</t>
  </si>
  <si>
    <t>Insulation Class</t>
  </si>
  <si>
    <t>Mpa</t>
  </si>
  <si>
    <t>kPa</t>
  </si>
  <si>
    <t>Low</t>
  </si>
  <si>
    <t>Med.</t>
  </si>
  <si>
    <t>High</t>
  </si>
  <si>
    <t>dB(A)</t>
  </si>
  <si>
    <t>A</t>
  </si>
  <si>
    <t>W</t>
  </si>
  <si>
    <t>220~230V / 1Ph / 50 or 60Hz</t>
  </si>
  <si>
    <r>
      <t>m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/h</t>
    </r>
  </si>
  <si>
    <t>Air volume</t>
  </si>
  <si>
    <t>Model</t>
  </si>
  <si>
    <t>Technical Specifications</t>
  </si>
  <si>
    <t xml:space="preserve">      High wall-mounted fan coil units HWF</t>
  </si>
  <si>
    <t>dT</t>
  </si>
  <si>
    <t>Cooling / Heating</t>
  </si>
  <si>
    <t>l/h</t>
  </si>
  <si>
    <r>
      <t xml:space="preserve">Cooling
</t>
    </r>
    <r>
      <rPr>
        <sz val="10"/>
        <rFont val="Open Sans"/>
        <family val="2"/>
      </rPr>
      <t>7/12/27C</t>
    </r>
  </si>
  <si>
    <r>
      <t xml:space="preserve">Heating
</t>
    </r>
    <r>
      <rPr>
        <sz val="10"/>
        <rFont val="Open Sans"/>
        <family val="2"/>
      </rPr>
      <t>75/65/20C</t>
    </r>
  </si>
  <si>
    <t>Total cooling capacity</t>
  </si>
  <si>
    <t>Sensible cooling capacity</t>
  </si>
  <si>
    <t>Heating capacity</t>
  </si>
  <si>
    <t>Power supply</t>
  </si>
  <si>
    <t>Max. power input</t>
  </si>
  <si>
    <t>Max. running current</t>
  </si>
  <si>
    <t>Max. sound pressure level</t>
  </si>
  <si>
    <t>Water flow rate</t>
  </si>
  <si>
    <t>Water-side pressure drop</t>
  </si>
  <si>
    <t>Max. operating pressure</t>
  </si>
  <si>
    <t>Water connections (inlet / outlet)</t>
  </si>
  <si>
    <t>Condensate drain connection</t>
  </si>
  <si>
    <t>Unit dimensions W × D × H</t>
  </si>
  <si>
    <t>Packed dimensions W × D × H</t>
  </si>
  <si>
    <t>Inlet water temperature, °C</t>
  </si>
  <si>
    <t>Outlet water temperature, °C</t>
  </si>
  <si>
    <t>Room temperature, °C</t>
  </si>
  <si>
    <t>Required capacity, W</t>
  </si>
  <si>
    <t>Tolerance +</t>
  </si>
  <si>
    <t>Tolerance -</t>
  </si>
  <si>
    <t>Room relative humidity, %</t>
  </si>
  <si>
    <t>dx latent</t>
  </si>
  <si>
    <t>ZG1/2" male tapered thread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</si>
</sst>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Open Sans"/>
      <family val="2"/>
    </font>
    <font>
      <sz val="12"/>
      <color rgb="FF000000"/>
      <name val="Open Sans"/>
      <family val="2"/>
    </font>
    <font>
      <sz val="12"/>
      <color indexed="8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sz val="11"/>
      <color theme="1"/>
      <name val="Calibri"/>
      <family val="2"/>
      <scheme val="minor"/>
    </font>
    <font>
      <sz val="14"/>
      <name val="Open Sans"/>
      <family val="2"/>
    </font>
    <font>
      <b/>
      <sz val="20"/>
      <name val="Open Sans"/>
      <family val="2"/>
    </font>
    <font>
      <sz val="10"/>
      <color rgb="FF000000"/>
      <name val="Open Sans"/>
      <family val="2"/>
    </font>
    <font>
      <sz val="10"/>
      <name val="Open Sans"/>
      <family val="2"/>
    </font>
    <font>
      <b/>
      <sz val="22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8E8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thin">
        <color rgb="FF211F1F"/>
      </bottom>
      <diagonal/>
    </border>
    <border>
      <left/>
      <right/>
      <top style="thin">
        <color rgb="FF211F1F"/>
      </top>
      <bottom style="thin">
        <color rgb="FF211F1F"/>
      </bottom>
      <diagonal/>
    </border>
    <border>
      <left style="thin">
        <color rgb="FF211F1F"/>
      </left>
      <right/>
      <top style="thin">
        <color rgb="FF211F1F"/>
      </top>
      <bottom style="thin">
        <color rgb="FF211F1F"/>
      </bottom>
      <diagonal/>
    </border>
    <border>
      <left style="thin">
        <color rgb="FF211F1F"/>
      </left>
      <right/>
      <top/>
      <bottom/>
      <diagonal/>
    </border>
    <border>
      <left style="thin">
        <color rgb="FF211F1F"/>
      </left>
      <right style="thin">
        <color rgb="FF211F1F"/>
      </right>
      <top style="thin">
        <color rgb="FF211F1F"/>
      </top>
      <bottom/>
      <diagonal/>
    </border>
    <border>
      <left style="thin">
        <color rgb="FF211F1F"/>
      </left>
      <right style="thin">
        <color rgb="FF211F1F"/>
      </right>
      <top/>
      <bottom style="thin">
        <color rgb="FF211F1F"/>
      </bottom>
      <diagonal/>
    </border>
    <border>
      <left style="thin">
        <color rgb="FF211F1F"/>
      </left>
      <right style="thin">
        <color rgb="FF211F1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211F1F"/>
      </left>
      <right style="medium">
        <color indexed="64"/>
      </right>
      <top style="thin">
        <color rgb="FF211F1F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211F1F"/>
      </left>
      <right style="medium">
        <color indexed="64"/>
      </right>
      <top style="thin">
        <color rgb="FF211F1F"/>
      </top>
      <bottom style="thin">
        <color rgb="FF211F1F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11F1F"/>
      </left>
      <right style="medium">
        <color indexed="64"/>
      </right>
      <top style="medium">
        <color indexed="64"/>
      </top>
      <bottom style="thin">
        <color rgb="FF211F1F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medium">
        <color indexed="64"/>
      </top>
      <bottom style="thin">
        <color rgb="FF211F1F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211F1F"/>
      </right>
      <top/>
      <bottom style="medium">
        <color indexed="64"/>
      </bottom>
      <diagonal/>
    </border>
    <border>
      <left style="medium">
        <color indexed="64"/>
      </left>
      <right style="thin">
        <color rgb="FF211F1F"/>
      </right>
      <top/>
      <bottom/>
      <diagonal/>
    </border>
    <border>
      <left style="medium">
        <color indexed="64"/>
      </left>
      <right style="thin">
        <color rgb="FF211F1F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11F1F"/>
      </left>
      <right style="thin">
        <color rgb="FF211F1F"/>
      </right>
      <top/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thin">
        <color indexed="64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indexed="64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rgb="FF211F1F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rgb="FF211F1F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100">
    <xf numFmtId="0" fontId="0" fillId="0" borderId="0" xfId="0"/>
    <xf numFmtId="9" fontId="2" fillId="0" borderId="1" xfId="2" applyFont="1" applyFill="1" applyBorder="1" applyAlignment="1" applyProtection="1">
      <alignment horizontal="center" vertical="center"/>
      <protection locked="0" hidden="1"/>
    </xf>
    <xf numFmtId="3" fontId="5" fillId="0" borderId="1" xfId="1" applyNumberFormat="1" applyFont="1" applyBorder="1" applyAlignment="1" applyProtection="1">
      <alignment horizontal="center" vertical="center"/>
      <protection locked="0" hidden="1"/>
    </xf>
    <xf numFmtId="0" fontId="5" fillId="0" borderId="1" xfId="1" applyFont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1" applyFont="1" applyAlignment="1" applyProtection="1">
      <alignment vertical="center" wrapText="1"/>
      <protection hidden="1"/>
    </xf>
    <xf numFmtId="0" fontId="2" fillId="0" borderId="0" xfId="3" applyFont="1" applyAlignment="1" applyProtection="1">
      <alignment vertical="top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3" fontId="5" fillId="3" borderId="3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1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vertical="center" wrapText="1"/>
      <protection hidden="1"/>
    </xf>
    <xf numFmtId="0" fontId="2" fillId="0" borderId="33" xfId="0" applyFont="1" applyBorder="1" applyAlignment="1" applyProtection="1">
      <alignment horizontal="center" vertical="center" wrapText="1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33" xfId="0" applyNumberFormat="1" applyFont="1" applyBorder="1" applyAlignment="1" applyProtection="1">
      <alignment horizontal="center" vertical="center" shrinkToFit="1"/>
      <protection hidden="1"/>
    </xf>
    <xf numFmtId="3" fontId="2" fillId="0" borderId="34" xfId="0" applyNumberFormat="1" applyFont="1" applyBorder="1" applyAlignment="1" applyProtection="1">
      <alignment horizontal="center" vertical="center" shrinkToFi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3" fontId="2" fillId="0" borderId="5" xfId="0" applyNumberFormat="1" applyFont="1" applyBorder="1" applyAlignment="1" applyProtection="1">
      <alignment horizontal="center" vertical="center" shrinkToFit="1"/>
      <protection hidden="1"/>
    </xf>
    <xf numFmtId="3" fontId="2" fillId="0" borderId="35" xfId="0" applyNumberFormat="1" applyFont="1" applyBorder="1" applyAlignment="1" applyProtection="1">
      <alignment horizontal="center" vertical="center" shrinkToFit="1"/>
      <protection hidden="1"/>
    </xf>
    <xf numFmtId="0" fontId="2" fillId="0" borderId="18" xfId="0" applyFont="1" applyBorder="1" applyAlignment="1" applyProtection="1">
      <alignment horizontal="center" vertical="center" wrapText="1"/>
      <protection hidden="1"/>
    </xf>
    <xf numFmtId="3" fontId="2" fillId="3" borderId="17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18" xfId="0" applyNumberFormat="1" applyFont="1" applyBorder="1" applyAlignment="1" applyProtection="1">
      <alignment horizontal="center" vertical="center" shrinkToFit="1"/>
      <protection hidden="1"/>
    </xf>
    <xf numFmtId="3" fontId="2" fillId="0" borderId="36" xfId="0" applyNumberFormat="1" applyFont="1" applyBorder="1" applyAlignment="1" applyProtection="1">
      <alignment horizontal="center" vertical="center" wrapText="1"/>
      <protection hidden="1"/>
    </xf>
    <xf numFmtId="0" fontId="2" fillId="0" borderId="24" xfId="0" applyFont="1" applyBorder="1" applyAlignment="1" applyProtection="1">
      <alignment horizontal="center" vertical="center" wrapText="1"/>
      <protection hidden="1"/>
    </xf>
    <xf numFmtId="3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24" xfId="0" applyNumberFormat="1" applyFont="1" applyBorder="1" applyAlignment="1" applyProtection="1">
      <alignment horizontal="center" vertical="center" shrinkToFit="1"/>
      <protection hidden="1"/>
    </xf>
    <xf numFmtId="3" fontId="2" fillId="0" borderId="22" xfId="0" applyNumberFormat="1" applyFont="1" applyBorder="1" applyAlignment="1" applyProtection="1">
      <alignment horizontal="center" vertical="center" shrinkToFit="1"/>
      <protection hidden="1"/>
    </xf>
    <xf numFmtId="3" fontId="2" fillId="0" borderId="20" xfId="0" applyNumberFormat="1" applyFont="1" applyBorder="1" applyAlignment="1" applyProtection="1">
      <alignment horizontal="center" vertical="center" shrinkToFi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2" fontId="2" fillId="0" borderId="0" xfId="0" applyNumberFormat="1" applyFont="1" applyAlignment="1" applyProtection="1">
      <alignment horizontal="left" vertical="center"/>
      <protection hidden="1"/>
    </xf>
    <xf numFmtId="3" fontId="2" fillId="0" borderId="16" xfId="0" applyNumberFormat="1" applyFont="1" applyBorder="1" applyAlignment="1" applyProtection="1">
      <alignment horizontal="center" vertical="center" shrinkToFit="1"/>
      <protection hidden="1"/>
    </xf>
    <xf numFmtId="3" fontId="2" fillId="0" borderId="24" xfId="0" applyNumberFormat="1" applyFont="1" applyBorder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1" fontId="2" fillId="0" borderId="5" xfId="0" applyNumberFormat="1" applyFont="1" applyBorder="1" applyAlignment="1" applyProtection="1">
      <alignment horizontal="center" vertical="center" shrinkToFit="1"/>
      <protection hidden="1"/>
    </xf>
    <xf numFmtId="164" fontId="2" fillId="0" borderId="5" xfId="0" applyNumberFormat="1" applyFont="1" applyBorder="1" applyAlignment="1" applyProtection="1">
      <alignment horizontal="center" vertical="center" shrinkToFit="1"/>
      <protection hidden="1"/>
    </xf>
    <xf numFmtId="2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2" fontId="2" fillId="0" borderId="5" xfId="0" applyNumberFormat="1" applyFont="1" applyBorder="1" applyAlignment="1" applyProtection="1">
      <alignment horizontal="center" vertical="center" shrinkToFit="1"/>
      <protection hidden="1"/>
    </xf>
    <xf numFmtId="1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28" xfId="0" applyFont="1" applyBorder="1" applyAlignment="1" applyProtection="1">
      <alignment horizontal="left" vertical="top" wrapText="1"/>
      <protection hidden="1"/>
    </xf>
    <xf numFmtId="0" fontId="2" fillId="0" borderId="27" xfId="0" applyFont="1" applyBorder="1" applyAlignment="1" applyProtection="1">
      <alignment horizontal="left" vertical="top" wrapText="1"/>
      <protection hidden="1"/>
    </xf>
    <xf numFmtId="0" fontId="2" fillId="0" borderId="26" xfId="0" applyFont="1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8" fillId="0" borderId="0" xfId="3" applyFont="1" applyAlignment="1" applyProtection="1">
      <alignment horizontal="center" vertical="center"/>
      <protection hidden="1"/>
    </xf>
    <xf numFmtId="0" fontId="5" fillId="0" borderId="31" xfId="0" applyFont="1" applyBorder="1" applyAlignment="1" applyProtection="1">
      <alignment horizontal="center" vertical="center" wrapText="1"/>
      <protection hidden="1"/>
    </xf>
    <xf numFmtId="0" fontId="2" fillId="0" borderId="31" xfId="0" applyFont="1" applyBorder="1" applyAlignment="1" applyProtection="1">
      <alignment horizontal="left" vertical="top" wrapText="1"/>
      <protection hidden="1"/>
    </xf>
    <xf numFmtId="0" fontId="2" fillId="0" borderId="30" xfId="0" applyFont="1" applyBorder="1" applyAlignment="1" applyProtection="1">
      <alignment horizontal="left" vertical="top" wrapText="1"/>
      <protection hidden="1"/>
    </xf>
    <xf numFmtId="0" fontId="2" fillId="0" borderId="29" xfId="0" applyFont="1" applyBorder="1" applyAlignment="1" applyProtection="1">
      <alignment horizontal="left" vertical="top" wrapText="1"/>
      <protection hidden="1"/>
    </xf>
    <xf numFmtId="0" fontId="2" fillId="0" borderId="31" xfId="0" applyFont="1" applyBorder="1" applyAlignment="1" applyProtection="1">
      <alignment horizontal="center" vertical="top" wrapText="1"/>
      <protection hidden="1"/>
    </xf>
    <xf numFmtId="0" fontId="2" fillId="0" borderId="30" xfId="0" applyFont="1" applyBorder="1" applyAlignment="1" applyProtection="1">
      <alignment horizontal="center" vertical="top" wrapText="1"/>
      <protection hidden="1"/>
    </xf>
    <xf numFmtId="0" fontId="2" fillId="0" borderId="29" xfId="0" applyFont="1" applyBorder="1" applyAlignment="1" applyProtection="1">
      <alignment horizontal="center" vertical="top" wrapText="1"/>
      <protection hidden="1"/>
    </xf>
    <xf numFmtId="0" fontId="2" fillId="0" borderId="25" xfId="0" applyFont="1" applyBorder="1" applyAlignment="1" applyProtection="1">
      <alignment horizontal="left" vertical="top" wrapText="1"/>
      <protection hidden="1"/>
    </xf>
    <xf numFmtId="0" fontId="2" fillId="0" borderId="21" xfId="0" applyFont="1" applyBorder="1" applyAlignment="1" applyProtection="1">
      <alignment horizontal="left" vertical="top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left" vertical="top" wrapText="1"/>
      <protection hidden="1"/>
    </xf>
    <xf numFmtId="0" fontId="2" fillId="0" borderId="32" xfId="0" applyFont="1" applyBorder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0" fontId="2" fillId="0" borderId="32" xfId="0" applyFont="1" applyBorder="1" applyAlignment="1" applyProtection="1">
      <alignment horizontal="center" vertical="top" wrapText="1"/>
      <protection hidden="1"/>
    </xf>
    <xf numFmtId="0" fontId="2" fillId="0" borderId="15" xfId="0" applyFont="1" applyBorder="1" applyAlignment="1" applyProtection="1">
      <alignment vertical="center" wrapText="1"/>
      <protection hidden="1"/>
    </xf>
    <xf numFmtId="0" fontId="2" fillId="0" borderId="14" xfId="0" applyFont="1" applyBorder="1" applyAlignment="1" applyProtection="1">
      <alignment vertical="center" wrapText="1"/>
      <protection hidden="1"/>
    </xf>
    <xf numFmtId="0" fontId="2" fillId="0" borderId="13" xfId="0" applyFont="1" applyBorder="1" applyAlignment="1" applyProtection="1">
      <alignment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0" fontId="2" fillId="0" borderId="10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</cellXfs>
  <cellStyles count="4">
    <cellStyle name="Įprastas 2" xfId="1" xr:uid="{A1496AFF-0961-4C11-9744-874044F0E3F2}"/>
    <cellStyle name="Normal" xfId="0" builtinId="0"/>
    <cellStyle name="Normal 2 2" xfId="3" xr:uid="{344093F1-00FD-4037-BE63-678E157A290D}"/>
    <cellStyle name="Procentai 2" xfId="2" xr:uid="{0AE04A9E-7AE3-4BB8-8514-64EEF82C4EFD}"/>
  </cellStyles>
  <dxfs count="2"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strike val="0"/>
        <color theme="0"/>
      </font>
      <fill>
        <patternFill>
          <bgColor rgb="FF4D93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1012629</xdr:colOff>
      <xdr:row>1</xdr:row>
      <xdr:rowOff>118208</xdr:rowOff>
    </xdr:from>
    <xdr:ext cx="3138671" cy="431291"/>
    <xdr:pic>
      <xdr:nvPicPr>
        <xdr:cNvPr id="3" name="Picture 2">
          <a:extLst>
            <a:ext uri="{FF2B5EF4-FFF2-40B4-BE49-F238E27FC236}">
              <a16:creationId xmlns:a16="http://schemas.microsoft.com/office/drawing/2014/main" id="{86CBAA16-1191-4DB0-80ED-A29AEEB1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169" y="285848"/>
          <a:ext cx="3138671" cy="431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20320</xdr:colOff>
      <xdr:row>1</xdr:row>
      <xdr:rowOff>17781</xdr:rowOff>
    </xdr:from>
    <xdr:to>
      <xdr:col>3</xdr:col>
      <xdr:colOff>500743</xdr:colOff>
      <xdr:row>9</xdr:row>
      <xdr:rowOff>199283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46A78C-8699-8FAC-04E6-7D34E272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06" y="235495"/>
          <a:ext cx="3223623" cy="1923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DB9C-1683-4C25-BAA7-6E57914900CB}">
  <dimension ref="A1:AA47"/>
  <sheetViews>
    <sheetView showGridLines="0" tabSelected="1" zoomScale="70" zoomScaleNormal="70" zoomScaleSheetLayoutView="85" workbookViewId="0">
      <selection activeCell="J2" sqref="J2"/>
    </sheetView>
  </sheetViews>
  <sheetFormatPr defaultRowHeight="17.399999999999999" x14ac:dyDescent="0.25"/>
  <cols>
    <col min="1" max="1" width="8" style="4" customWidth="1"/>
    <col min="2" max="2" width="33.44140625" style="4" bestFit="1" customWidth="1"/>
    <col min="3" max="3" width="6.5546875" style="4" bestFit="1" customWidth="1"/>
    <col min="4" max="4" width="10.33203125" style="5" bestFit="1" customWidth="1"/>
    <col min="5" max="8" width="20.77734375" style="4" customWidth="1"/>
    <col min="9" max="9" width="22.77734375" style="4" customWidth="1"/>
    <col min="10" max="10" width="20.77734375" style="4" customWidth="1"/>
    <col min="11" max="23" width="8.88671875" style="4"/>
    <col min="24" max="24" width="19.6640625" style="4" hidden="1" customWidth="1"/>
    <col min="25" max="26" width="7.88671875" style="4" hidden="1" customWidth="1"/>
    <col min="27" max="27" width="7.88671875" style="4" customWidth="1"/>
    <col min="28" max="16384" width="8.88671875" style="4"/>
  </cols>
  <sheetData>
    <row r="1" spans="1:25" ht="17.399999999999999" customHeight="1" x14ac:dyDescent="0.25"/>
    <row r="2" spans="1:25" ht="17.399999999999999" customHeight="1" x14ac:dyDescent="0.25">
      <c r="G2" s="6"/>
      <c r="I2" s="7" t="s">
        <v>56</v>
      </c>
      <c r="J2" s="3">
        <v>7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7" t="s">
        <v>38</v>
      </c>
      <c r="Y2" s="9">
        <f>J2-J3</f>
        <v>-5</v>
      </c>
    </row>
    <row r="3" spans="1:25" ht="17.399999999999999" customHeight="1" x14ac:dyDescent="0.25">
      <c r="G3" s="6"/>
      <c r="I3" s="7" t="s">
        <v>57</v>
      </c>
      <c r="J3" s="3">
        <v>12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7" t="s">
        <v>37</v>
      </c>
      <c r="Y3" s="9">
        <f>ABS(J4-(J2+J3)/2)</f>
        <v>17.5</v>
      </c>
    </row>
    <row r="4" spans="1:25" ht="17.399999999999999" customHeight="1" x14ac:dyDescent="0.25">
      <c r="I4" s="7" t="s">
        <v>58</v>
      </c>
      <c r="J4" s="3">
        <v>27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1">
        <f>IF(J7*(1-$J$9)=0,0.00001,J7*(1-$J$9))</f>
        <v>2450</v>
      </c>
    </row>
    <row r="5" spans="1:25" ht="17.399999999999999" customHeight="1" x14ac:dyDescent="0.25">
      <c r="C5" s="12"/>
      <c r="D5" s="12"/>
      <c r="E5" s="12"/>
      <c r="F5" s="12"/>
      <c r="G5" s="12"/>
      <c r="H5" s="12"/>
      <c r="I5" s="7" t="s">
        <v>62</v>
      </c>
      <c r="J5" s="3">
        <v>47</v>
      </c>
      <c r="K5" s="13"/>
      <c r="L5" s="13"/>
      <c r="M5"/>
      <c r="N5" s="13"/>
      <c r="O5" s="13"/>
      <c r="P5" s="13"/>
      <c r="Q5" s="13"/>
      <c r="R5" s="13"/>
      <c r="S5" s="13"/>
      <c r="T5" s="13"/>
      <c r="U5" s="13"/>
      <c r="V5" s="13"/>
      <c r="W5" s="13"/>
      <c r="X5" s="8"/>
      <c r="Y5" s="11">
        <f>IF(J7*(1+$J$8)=0,0.00001,J7*(1+$J$8))</f>
        <v>2875</v>
      </c>
    </row>
    <row r="6" spans="1:25" ht="17.399999999999999" customHeight="1" x14ac:dyDescent="0.25">
      <c r="C6" s="14"/>
      <c r="D6" s="75" t="s">
        <v>36</v>
      </c>
      <c r="E6" s="75"/>
      <c r="F6" s="75"/>
      <c r="G6" s="75"/>
      <c r="H6" s="75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7" t="s">
        <v>63</v>
      </c>
      <c r="Y6" s="9">
        <f>MAX(0,0.622*($J$5/100*0.61078*EXP(17.27*$J$4/($J$4+237.3)))/(101.325-$J$5/100*0.61078*EXP(17.27*$J$4/($J$4+237.3)))-0.622*0.61078*EXP(17.27*(($J$2+$J$3)/2+3)/(($J$2+$J$3)/2+3+237.3))/(101.325-0.61078*EXP(17.27*(($J$2+$J$3)/2+3)/(($J$2+$J$3)/2+3+237.3))))</f>
        <v>1.4325404173652009E-3</v>
      </c>
    </row>
    <row r="7" spans="1:25" ht="17.399999999999999" customHeight="1" x14ac:dyDescent="0.25">
      <c r="D7" s="75"/>
      <c r="E7" s="75"/>
      <c r="F7" s="75"/>
      <c r="G7" s="75"/>
      <c r="H7" s="75"/>
      <c r="I7" s="7" t="s">
        <v>59</v>
      </c>
      <c r="J7" s="2">
        <v>2500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7.399999999999999" customHeight="1" x14ac:dyDescent="0.25">
      <c r="E8" s="76" t="s">
        <v>35</v>
      </c>
      <c r="F8" s="76"/>
      <c r="G8" s="76"/>
      <c r="H8" s="76"/>
      <c r="I8" s="7" t="s">
        <v>60</v>
      </c>
      <c r="J8" s="1">
        <v>0.15</v>
      </c>
      <c r="K8" s="8"/>
      <c r="L8" s="8"/>
      <c r="M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7.399999999999999" customHeight="1" x14ac:dyDescent="0.25">
      <c r="I9" s="7" t="s">
        <v>61</v>
      </c>
      <c r="J9" s="1">
        <v>0.02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7.399999999999999" customHeight="1" x14ac:dyDescent="0.25"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5" customFormat="1" ht="17.399999999999999" customHeight="1" x14ac:dyDescent="0.25">
      <c r="A11" s="15"/>
      <c r="B11" s="77" t="s">
        <v>34</v>
      </c>
      <c r="C11" s="77"/>
      <c r="D11" s="77"/>
      <c r="E11" s="16" t="str">
        <f t="shared" ref="E11:J11" si="0">"HWF"&amp;E12/10&amp;"-"&amp;"EC"</f>
        <v>HWF43-EC</v>
      </c>
      <c r="F11" s="17" t="str">
        <f t="shared" si="0"/>
        <v>HWF51-EC</v>
      </c>
      <c r="G11" s="16" t="str">
        <f t="shared" si="0"/>
        <v>HWF68-EC</v>
      </c>
      <c r="H11" s="17" t="str">
        <f t="shared" si="0"/>
        <v>HWF85-EC</v>
      </c>
      <c r="I11" s="16" t="str">
        <f t="shared" si="0"/>
        <v>HWF102-EC</v>
      </c>
      <c r="J11" s="17" t="str">
        <f t="shared" si="0"/>
        <v>HWF120-EC</v>
      </c>
      <c r="K11" s="8"/>
      <c r="L11" s="8"/>
      <c r="M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x14ac:dyDescent="0.25">
      <c r="A12" s="18"/>
      <c r="B12" s="78" t="s">
        <v>33</v>
      </c>
      <c r="C12" s="81" t="s">
        <v>32</v>
      </c>
      <c r="D12" s="19" t="s">
        <v>27</v>
      </c>
      <c r="E12" s="20">
        <v>430</v>
      </c>
      <c r="F12" s="21">
        <v>510</v>
      </c>
      <c r="G12" s="20">
        <v>680</v>
      </c>
      <c r="H12" s="21">
        <v>850</v>
      </c>
      <c r="I12" s="20">
        <v>1020</v>
      </c>
      <c r="J12" s="22">
        <v>1200</v>
      </c>
    </row>
    <row r="13" spans="1:25" x14ac:dyDescent="0.25">
      <c r="A13" s="18"/>
      <c r="B13" s="79"/>
      <c r="C13" s="82"/>
      <c r="D13" s="23" t="s">
        <v>26</v>
      </c>
      <c r="E13" s="20">
        <v>330</v>
      </c>
      <c r="F13" s="24">
        <v>395</v>
      </c>
      <c r="G13" s="20">
        <v>530</v>
      </c>
      <c r="H13" s="24">
        <v>650</v>
      </c>
      <c r="I13" s="20">
        <v>765</v>
      </c>
      <c r="J13" s="25">
        <v>880</v>
      </c>
    </row>
    <row r="14" spans="1:25" ht="18" thickBot="1" x14ac:dyDescent="0.3">
      <c r="A14" s="18"/>
      <c r="B14" s="80"/>
      <c r="C14" s="83"/>
      <c r="D14" s="26" t="s">
        <v>25</v>
      </c>
      <c r="E14" s="27">
        <v>220</v>
      </c>
      <c r="F14" s="28">
        <v>270</v>
      </c>
      <c r="G14" s="27">
        <v>355</v>
      </c>
      <c r="H14" s="28">
        <v>460</v>
      </c>
      <c r="I14" s="27">
        <v>520</v>
      </c>
      <c r="J14" s="29">
        <v>620</v>
      </c>
    </row>
    <row r="15" spans="1:25" x14ac:dyDescent="0.25">
      <c r="A15" s="18"/>
      <c r="B15" s="72" t="s">
        <v>42</v>
      </c>
      <c r="C15" s="30" t="s">
        <v>30</v>
      </c>
      <c r="D15" s="30" t="s">
        <v>27</v>
      </c>
      <c r="E15" s="31">
        <f>IF($Y$2&lt;0,IF(OR($J$2&lt;3,$J$2&gt;14),"Water t. 3-14°C",144.4*$Y$3-377.5+362778*$Y$6),"")</f>
        <v>2669.1941475309131</v>
      </c>
      <c r="F15" s="32">
        <f>IF($Y$2&lt;0,IF(OR($J$2&lt;3,$J$2&gt;14),"Water t. 3-14°C",167.4*$Y$3-407.2+424619*$Y$6),"")</f>
        <v>3130.5838794811943</v>
      </c>
      <c r="G15" s="31">
        <f>IF($Y$2&lt;0,IF(OR($J$2&lt;3,$J$2&gt;14),"Water t. 3-14°C",200.2*$Y$3-524.5+494136*$Y$6),"")</f>
        <v>3686.8697916751707</v>
      </c>
      <c r="H15" s="32">
        <f>IF($Y$2&lt;0,IF(OR($J$2&lt;3,$J$2&gt;14),"Water t. 3-14°C",237.8*$Y$3-590.1+594095*$Y$6),"")</f>
        <v>4422.4650992545794</v>
      </c>
      <c r="I15" s="31">
        <f>IF($Y$2&lt;0,IF(OR($J$2&lt;3,$J$2&gt;14),"Water t. 3-14°C",318.4*$Y$3-751.2+812214*$Y$6),"")</f>
        <v>5984.3293825498595</v>
      </c>
      <c r="J15" s="33">
        <f>IF($Y$2&lt;0,IF(OR($J$2&lt;3,$J$2&gt;14),"Water t. 3-14°C",358.9*$Y$3-864.7+911631*$Y$6),"")</f>
        <v>6721.9982532230551</v>
      </c>
    </row>
    <row r="16" spans="1:25" x14ac:dyDescent="0.25">
      <c r="A16" s="18"/>
      <c r="B16" s="73"/>
      <c r="C16" s="23" t="s">
        <v>30</v>
      </c>
      <c r="D16" s="23" t="s">
        <v>26</v>
      </c>
      <c r="E16" s="20">
        <f>IFERROR(ROUND(E15*0.81,0),"")</f>
        <v>2162</v>
      </c>
      <c r="F16" s="24">
        <f>IFERROR(ROUND(F15*0.788,0),"")</f>
        <v>2467</v>
      </c>
      <c r="G16" s="20">
        <f>IFERROR(ROUND(G15*0.8,0),"")</f>
        <v>2949</v>
      </c>
      <c r="H16" s="24">
        <f>IFERROR(ROUND(H15*0.817,0),"")</f>
        <v>3613</v>
      </c>
      <c r="I16" s="20">
        <f>IFERROR(ROUND(I15*0.805,0),"")</f>
        <v>4817</v>
      </c>
      <c r="J16" s="34">
        <f>IFERROR(ROUND(J15*0.801,0),"")</f>
        <v>5384</v>
      </c>
      <c r="K16" s="35"/>
      <c r="L16" s="35"/>
      <c r="M16" s="35"/>
      <c r="N16" s="36"/>
      <c r="O16" s="35"/>
      <c r="P16" s="35"/>
      <c r="Q16" s="35"/>
      <c r="R16" s="35"/>
      <c r="S16" s="35"/>
      <c r="T16" s="35"/>
      <c r="U16" s="35"/>
      <c r="V16" s="35"/>
      <c r="W16" s="35"/>
    </row>
    <row r="17" spans="1:27" ht="18" thickBot="1" x14ac:dyDescent="0.3">
      <c r="A17" s="18"/>
      <c r="B17" s="74"/>
      <c r="C17" s="26" t="s">
        <v>30</v>
      </c>
      <c r="D17" s="26" t="s">
        <v>25</v>
      </c>
      <c r="E17" s="27">
        <f>IFERROR(ROUND(E15*0.566,0),"")</f>
        <v>1511</v>
      </c>
      <c r="F17" s="28">
        <f>IFERROR(ROUND(F15*0.588,0),"")</f>
        <v>1841</v>
      </c>
      <c r="G17" s="27">
        <f>IFERROR(ROUND(G15*0.625,0),"")</f>
        <v>2304</v>
      </c>
      <c r="H17" s="28">
        <f>IFERROR(ROUND(H15*0.59,0),"")</f>
        <v>2609</v>
      </c>
      <c r="I17" s="27">
        <f>IFERROR(ROUND(I15*0.585,0),"")</f>
        <v>3501</v>
      </c>
      <c r="J17" s="37">
        <f>IFERROR(ROUND(J15*0.603,0),"")</f>
        <v>4053</v>
      </c>
      <c r="K17" s="35"/>
      <c r="L17" s="35"/>
      <c r="M17" s="35"/>
      <c r="N17" s="36"/>
      <c r="O17" s="35"/>
      <c r="P17" s="35"/>
      <c r="Q17" s="35"/>
      <c r="R17" s="35"/>
      <c r="S17" s="35"/>
      <c r="T17" s="35"/>
      <c r="U17" s="35"/>
      <c r="V17" s="35"/>
      <c r="W17" s="35"/>
    </row>
    <row r="18" spans="1:27" x14ac:dyDescent="0.25">
      <c r="A18" s="18"/>
      <c r="B18" s="84" t="s">
        <v>43</v>
      </c>
      <c r="C18" s="30" t="s">
        <v>30</v>
      </c>
      <c r="D18" s="30" t="s">
        <v>27</v>
      </c>
      <c r="E18" s="31">
        <f>IF($Y$2&lt;0,IF(OR($J$2&lt;3,$J$2&gt;14),"Water t. 3-14°C",144.4*$Y$3-377.5),"")</f>
        <v>2149.5</v>
      </c>
      <c r="F18" s="38">
        <f>IF($Y$2&lt;0,IF(OR($J$2&lt;3,$J$2&gt;14),"Water t. 3-14°C",167.4*$Y$3-407.2),"")</f>
        <v>2522.3000000000002</v>
      </c>
      <c r="G18" s="31">
        <f>IF($Y$2&lt;0,IF(OR($J$2&lt;3,$J$2&gt;14),"Water t. 3-14°C",200.2*$Y$3-524.5),"")</f>
        <v>2979</v>
      </c>
      <c r="H18" s="38">
        <f>IF($Y$2&lt;0,IF(OR($J$2&lt;3,$J$2&gt;14),"Water t. 3-14°C",237.8*$Y$3-590.1),"")</f>
        <v>3571.4</v>
      </c>
      <c r="I18" s="31">
        <f>IF($Y$2&lt;0,IF(OR($J$2&lt;3,$J$2&gt;14),"Water t. 3-14°C",318.4*$Y$3-751.2),"")</f>
        <v>4820.8</v>
      </c>
      <c r="J18" s="33">
        <f>IF($Y$2&lt;0,IF(OR($J$2&lt;3,$J$2&gt;14),"Water t. 3-14°C",358.9*$Y$3-864.7),"")</f>
        <v>5416.05</v>
      </c>
      <c r="K18" s="35"/>
      <c r="L18" s="35"/>
      <c r="M18" s="36"/>
      <c r="N18" s="36"/>
      <c r="O18" s="35"/>
      <c r="P18" s="35"/>
      <c r="Q18" s="35"/>
      <c r="R18" s="35"/>
      <c r="S18" s="35"/>
      <c r="T18" s="35"/>
      <c r="U18" s="35"/>
      <c r="V18" s="35"/>
      <c r="W18" s="35"/>
    </row>
    <row r="19" spans="1:27" x14ac:dyDescent="0.25">
      <c r="A19" s="18"/>
      <c r="B19" s="85"/>
      <c r="C19" s="23" t="s">
        <v>30</v>
      </c>
      <c r="D19" s="23" t="s">
        <v>26</v>
      </c>
      <c r="E19" s="20">
        <f>IFERROR(ROUND(E18*0.81,0),"")</f>
        <v>1741</v>
      </c>
      <c r="F19" s="24">
        <f>IFERROR(ROUND(F18*0.788,0),"")</f>
        <v>1988</v>
      </c>
      <c r="G19" s="20">
        <f>IFERROR(ROUND(G18*0.8,0),"")</f>
        <v>2383</v>
      </c>
      <c r="H19" s="24">
        <f>IFERROR(ROUND(H18*0.817,0),"")</f>
        <v>2918</v>
      </c>
      <c r="I19" s="20">
        <f>IFERROR(ROUND(I18*0.805,0),"")</f>
        <v>3881</v>
      </c>
      <c r="J19" s="34">
        <f>IFERROR(ROUND(J18*0.801,0),"")</f>
        <v>4338</v>
      </c>
      <c r="K19" s="35"/>
      <c r="L19" s="35"/>
      <c r="M19" s="36"/>
      <c r="N19" s="36"/>
      <c r="O19" s="35"/>
      <c r="P19" s="35"/>
      <c r="Q19" s="35"/>
      <c r="R19" s="35"/>
      <c r="S19" s="35"/>
      <c r="T19" s="35"/>
      <c r="U19" s="35"/>
      <c r="V19" s="35"/>
      <c r="W19" s="35"/>
    </row>
    <row r="20" spans="1:27" ht="18" thickBot="1" x14ac:dyDescent="0.3">
      <c r="A20" s="18"/>
      <c r="B20" s="86"/>
      <c r="C20" s="26" t="s">
        <v>30</v>
      </c>
      <c r="D20" s="26" t="s">
        <v>25</v>
      </c>
      <c r="E20" s="27">
        <f>IFERROR(ROUND(E18*0.566,0),"")</f>
        <v>1217</v>
      </c>
      <c r="F20" s="28">
        <f>IFERROR(ROUND(F18*0.588,0),"")</f>
        <v>1483</v>
      </c>
      <c r="G20" s="27">
        <f>IFERROR(ROUND(G18*0.625,0),"")</f>
        <v>1862</v>
      </c>
      <c r="H20" s="28">
        <f>IFERROR(ROUND(H18*0.59,0),"")</f>
        <v>2107</v>
      </c>
      <c r="I20" s="27">
        <f>IFERROR(ROUND(I18*0.585,0),"")</f>
        <v>2820</v>
      </c>
      <c r="J20" s="37">
        <f>IFERROR(ROUND(J18*0.603,0),"")</f>
        <v>3266</v>
      </c>
      <c r="K20" s="35"/>
      <c r="L20" s="35"/>
      <c r="M20" s="36"/>
      <c r="N20" s="36"/>
      <c r="O20" s="35"/>
      <c r="P20" s="35"/>
      <c r="Q20" s="35"/>
      <c r="R20" s="35"/>
      <c r="S20" s="35"/>
      <c r="T20" s="35"/>
      <c r="U20" s="35"/>
      <c r="V20" s="35"/>
      <c r="W20" s="35"/>
    </row>
    <row r="21" spans="1:27" x14ac:dyDescent="0.25">
      <c r="A21" s="18"/>
      <c r="B21" s="84" t="s">
        <v>44</v>
      </c>
      <c r="C21" s="30" t="s">
        <v>30</v>
      </c>
      <c r="D21" s="30" t="s">
        <v>27</v>
      </c>
      <c r="E21" s="31" t="str">
        <f>IF($Y$2&gt;0,IF(OR($J$2&lt;30,$J$2&gt;70),"Water t. 30-70°C",142.5*$Y$3-394.2),"")</f>
        <v/>
      </c>
      <c r="F21" s="32" t="str">
        <f>IF($Y$2&gt;0,IF(OR($J$2&lt;30,$J$2&gt;70),"Water t. 30-70°C",169.1*$Y$3-461.7),"")</f>
        <v/>
      </c>
      <c r="G21" s="31" t="str">
        <f>IF($Y$2&gt;0,IF(OR($J$2&lt;30,$J$2&gt;70),"Water t. 30-70°C",199*$Y$3-567.4),"")</f>
        <v/>
      </c>
      <c r="H21" s="32" t="str">
        <f>IF($Y$2&gt;0,IF(OR($J$2&lt;30,$J$2&gt;70),"Water t. 30-70°C",239.6*$Y$3-676.4),"")</f>
        <v/>
      </c>
      <c r="I21" s="31" t="str">
        <f>IF($Y$2&gt;0,IF(OR($J$2&lt;30,$J$2&gt;70),"Water t. 30-70°C",321.6*$Y$3-847.8),"")</f>
        <v/>
      </c>
      <c r="J21" s="33" t="str">
        <f>IF($Y$2&gt;0,IF(OR($J$2&lt;30,$J$2&gt;70),"Water t. 30-70°C",362.8*$Y$3-989.8),"")</f>
        <v/>
      </c>
      <c r="K21" s="35"/>
      <c r="L21" s="35"/>
      <c r="M21" s="36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9"/>
      <c r="Y21" s="39"/>
      <c r="Z21" s="39"/>
      <c r="AA21" s="39"/>
    </row>
    <row r="22" spans="1:27" x14ac:dyDescent="0.25">
      <c r="A22" s="18"/>
      <c r="B22" s="85"/>
      <c r="C22" s="23" t="s">
        <v>30</v>
      </c>
      <c r="D22" s="23" t="s">
        <v>26</v>
      </c>
      <c r="E22" s="20" t="str">
        <f>IFERROR(ROUND(E21*0.817,0),"")</f>
        <v/>
      </c>
      <c r="F22" s="24" t="str">
        <f>IFERROR(ROUND(F21*0.787,0),"")</f>
        <v/>
      </c>
      <c r="G22" s="20" t="str">
        <f>IFERROR(ROUND(G21*0.8,0),"")</f>
        <v/>
      </c>
      <c r="H22" s="24" t="str">
        <f>IFERROR(ROUND(H21*0.814,0),"")</f>
        <v/>
      </c>
      <c r="I22" s="20" t="str">
        <f>IFERROR(ROUND(I21*0.805,0),"")</f>
        <v/>
      </c>
      <c r="J22" s="34" t="str">
        <f>IFERROR(ROUND(J21*0.803,0),"")</f>
        <v/>
      </c>
      <c r="K22" s="35"/>
      <c r="L22" s="35"/>
      <c r="M22" s="36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7" ht="18" thickBot="1" x14ac:dyDescent="0.3">
      <c r="A23" s="18"/>
      <c r="B23" s="86"/>
      <c r="C23" s="26" t="s">
        <v>30</v>
      </c>
      <c r="D23" s="26" t="s">
        <v>25</v>
      </c>
      <c r="E23" s="27" t="str">
        <f>IFERROR(ROUND(E21*0.57,0),"")</f>
        <v/>
      </c>
      <c r="F23" s="28" t="str">
        <f>IFERROR(ROUND(F21*0.587,0),"")</f>
        <v/>
      </c>
      <c r="G23" s="27" t="str">
        <f>IFERROR(ROUND(G21*0.625,0),"")</f>
        <v/>
      </c>
      <c r="H23" s="28" t="str">
        <f>IFERROR(ROUND(H21*0.588,0),"")</f>
        <v/>
      </c>
      <c r="I23" s="27" t="str">
        <f>IFERROR(ROUND(I21*0.585,0),"")</f>
        <v/>
      </c>
      <c r="J23" s="37" t="str">
        <f>IFERROR(ROUND(J21*0.598,0),"")</f>
        <v/>
      </c>
      <c r="K23" s="35"/>
      <c r="L23" s="35"/>
      <c r="M23" s="36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7" s="40" customFormat="1" x14ac:dyDescent="0.25">
      <c r="B24" s="92" t="s">
        <v>45</v>
      </c>
      <c r="C24" s="93"/>
      <c r="D24" s="94"/>
      <c r="E24" s="95" t="s">
        <v>31</v>
      </c>
      <c r="F24" s="95"/>
      <c r="G24" s="95"/>
      <c r="H24" s="95"/>
      <c r="I24" s="95"/>
      <c r="J24" s="95"/>
    </row>
    <row r="25" spans="1:27" x14ac:dyDescent="0.25">
      <c r="A25" s="18"/>
      <c r="B25" s="41" t="s">
        <v>46</v>
      </c>
      <c r="C25" s="23" t="s">
        <v>30</v>
      </c>
      <c r="D25" s="42"/>
      <c r="E25" s="43">
        <v>13</v>
      </c>
      <c r="F25" s="44">
        <v>19</v>
      </c>
      <c r="G25" s="43">
        <v>25</v>
      </c>
      <c r="H25" s="23">
        <v>37</v>
      </c>
      <c r="I25" s="43">
        <v>42</v>
      </c>
      <c r="J25" s="45">
        <v>57</v>
      </c>
    </row>
    <row r="26" spans="1:27" x14ac:dyDescent="0.25">
      <c r="A26" s="18"/>
      <c r="B26" s="41" t="s">
        <v>47</v>
      </c>
      <c r="C26" s="23" t="s">
        <v>29</v>
      </c>
      <c r="D26" s="42"/>
      <c r="E26" s="46">
        <v>0.11</v>
      </c>
      <c r="F26" s="47">
        <v>0.17</v>
      </c>
      <c r="G26" s="46">
        <v>0.22</v>
      </c>
      <c r="H26" s="47">
        <v>0.32</v>
      </c>
      <c r="I26" s="46">
        <v>0.37</v>
      </c>
      <c r="J26" s="47">
        <v>0.5</v>
      </c>
    </row>
    <row r="27" spans="1:27" x14ac:dyDescent="0.25">
      <c r="A27" s="18"/>
      <c r="B27" s="88" t="s">
        <v>48</v>
      </c>
      <c r="C27" s="90" t="s">
        <v>28</v>
      </c>
      <c r="D27" s="23" t="s">
        <v>27</v>
      </c>
      <c r="E27" s="48">
        <v>32</v>
      </c>
      <c r="F27" s="44">
        <v>35</v>
      </c>
      <c r="G27" s="48">
        <v>41</v>
      </c>
      <c r="H27" s="49">
        <v>47</v>
      </c>
      <c r="I27" s="48">
        <v>45</v>
      </c>
      <c r="J27" s="44">
        <v>49</v>
      </c>
    </row>
    <row r="28" spans="1:27" x14ac:dyDescent="0.25">
      <c r="A28" s="18"/>
      <c r="B28" s="96"/>
      <c r="C28" s="98"/>
      <c r="D28" s="23" t="s">
        <v>26</v>
      </c>
      <c r="E28" s="48">
        <v>26</v>
      </c>
      <c r="F28" s="44">
        <v>29</v>
      </c>
      <c r="G28" s="48">
        <v>35</v>
      </c>
      <c r="H28" s="49">
        <v>40</v>
      </c>
      <c r="I28" s="48">
        <v>40</v>
      </c>
      <c r="J28" s="44">
        <v>43</v>
      </c>
    </row>
    <row r="29" spans="1:27" x14ac:dyDescent="0.25">
      <c r="A29" s="18"/>
      <c r="B29" s="97"/>
      <c r="C29" s="99"/>
      <c r="D29" s="50" t="s">
        <v>25</v>
      </c>
      <c r="E29" s="48">
        <v>18</v>
      </c>
      <c r="F29" s="44">
        <v>22</v>
      </c>
      <c r="G29" s="48">
        <v>25</v>
      </c>
      <c r="H29" s="49">
        <v>30</v>
      </c>
      <c r="I29" s="48">
        <v>31</v>
      </c>
      <c r="J29" s="44">
        <v>34</v>
      </c>
    </row>
    <row r="30" spans="1:27" x14ac:dyDescent="0.25">
      <c r="A30" s="18"/>
      <c r="B30" s="41" t="s">
        <v>49</v>
      </c>
      <c r="C30" s="23" t="s">
        <v>39</v>
      </c>
      <c r="D30" s="42"/>
      <c r="E30" s="48">
        <f t="shared" ref="E30:J30" si="2">IFERROR(IF($Y$2&gt;0,E21/(1.163*($J$2-$J$3)),E15/(1.163*($J$3-$J$2))),"")</f>
        <v>459.01876999671759</v>
      </c>
      <c r="F30" s="51">
        <f t="shared" si="2"/>
        <v>538.36352183683471</v>
      </c>
      <c r="G30" s="48">
        <f t="shared" si="2"/>
        <v>634.02747922186938</v>
      </c>
      <c r="H30" s="51">
        <f t="shared" si="2"/>
        <v>760.52710219339281</v>
      </c>
      <c r="I30" s="48">
        <f t="shared" si="2"/>
        <v>1029.119412304361</v>
      </c>
      <c r="J30" s="51">
        <f t="shared" si="2"/>
        <v>1155.9756239420558</v>
      </c>
    </row>
    <row r="31" spans="1:27" ht="17.399999999999999" customHeight="1" x14ac:dyDescent="0.25">
      <c r="A31" s="18"/>
      <c r="B31" s="88" t="s">
        <v>50</v>
      </c>
      <c r="C31" s="90" t="s">
        <v>24</v>
      </c>
      <c r="D31" s="52" t="s">
        <v>40</v>
      </c>
      <c r="E31" s="48">
        <v>24.21</v>
      </c>
      <c r="F31" s="44">
        <v>29.83</v>
      </c>
      <c r="G31" s="48">
        <v>23.74</v>
      </c>
      <c r="H31" s="44">
        <v>29.98</v>
      </c>
      <c r="I31" s="48">
        <v>32.02</v>
      </c>
      <c r="J31" s="44">
        <v>39.58</v>
      </c>
    </row>
    <row r="32" spans="1:27" ht="17.399999999999999" customHeight="1" x14ac:dyDescent="0.25">
      <c r="A32" s="18"/>
      <c r="B32" s="89"/>
      <c r="C32" s="91"/>
      <c r="D32" s="52" t="s">
        <v>41</v>
      </c>
      <c r="E32" s="48">
        <v>30.72</v>
      </c>
      <c r="F32" s="44">
        <v>36.55</v>
      </c>
      <c r="G32" s="48">
        <v>32.08</v>
      </c>
      <c r="H32" s="44">
        <v>39.69</v>
      </c>
      <c r="I32" s="48">
        <v>37.64</v>
      </c>
      <c r="J32" s="44">
        <v>47.7</v>
      </c>
    </row>
    <row r="33" spans="2:10" s="40" customFormat="1" x14ac:dyDescent="0.25">
      <c r="B33" s="53" t="s">
        <v>51</v>
      </c>
      <c r="C33" s="54" t="s">
        <v>23</v>
      </c>
      <c r="D33" s="55"/>
      <c r="E33" s="66">
        <v>1.6</v>
      </c>
      <c r="F33" s="66"/>
      <c r="G33" s="66"/>
      <c r="H33" s="66"/>
      <c r="I33" s="66"/>
      <c r="J33" s="66"/>
    </row>
    <row r="34" spans="2:10" s="40" customFormat="1" x14ac:dyDescent="0.25">
      <c r="B34" s="63" t="s">
        <v>22</v>
      </c>
      <c r="C34" s="63"/>
      <c r="D34" s="63"/>
      <c r="E34" s="64" t="s">
        <v>21</v>
      </c>
      <c r="F34" s="64"/>
      <c r="G34" s="64"/>
      <c r="H34" s="64"/>
      <c r="I34" s="64"/>
      <c r="J34" s="65"/>
    </row>
    <row r="35" spans="2:10" s="40" customFormat="1" ht="17.399999999999999" customHeight="1" x14ac:dyDescent="0.25">
      <c r="B35" s="63" t="s">
        <v>20</v>
      </c>
      <c r="C35" s="63"/>
      <c r="D35" s="63"/>
      <c r="E35" s="64" t="s">
        <v>19</v>
      </c>
      <c r="F35" s="64"/>
      <c r="G35" s="64"/>
      <c r="H35" s="64"/>
      <c r="I35" s="64"/>
      <c r="J35" s="65"/>
    </row>
    <row r="36" spans="2:10" s="40" customFormat="1" ht="17.399999999999999" customHeight="1" x14ac:dyDescent="0.25">
      <c r="B36" s="63" t="s">
        <v>18</v>
      </c>
      <c r="C36" s="63"/>
      <c r="D36" s="63"/>
      <c r="E36" s="66" t="s">
        <v>17</v>
      </c>
      <c r="F36" s="66"/>
      <c r="G36" s="66"/>
      <c r="H36" s="66"/>
      <c r="I36" s="66"/>
      <c r="J36" s="66"/>
    </row>
    <row r="37" spans="2:10" s="40" customFormat="1" ht="17.399999999999999" customHeight="1" x14ac:dyDescent="0.25">
      <c r="B37" s="63" t="s">
        <v>16</v>
      </c>
      <c r="C37" s="63"/>
      <c r="D37" s="63"/>
      <c r="E37" s="64" t="s">
        <v>15</v>
      </c>
      <c r="F37" s="64"/>
      <c r="G37" s="64"/>
      <c r="H37" s="64"/>
      <c r="I37" s="64"/>
      <c r="J37" s="65"/>
    </row>
    <row r="38" spans="2:10" s="40" customFormat="1" ht="17.399999999999999" customHeight="1" x14ac:dyDescent="0.25">
      <c r="B38" s="63" t="s">
        <v>14</v>
      </c>
      <c r="C38" s="63"/>
      <c r="D38" s="63"/>
      <c r="E38" s="64" t="s">
        <v>13</v>
      </c>
      <c r="F38" s="64"/>
      <c r="G38" s="64"/>
      <c r="H38" s="64"/>
      <c r="I38" s="64"/>
      <c r="J38" s="65"/>
    </row>
    <row r="39" spans="2:10" s="40" customFormat="1" ht="17.399999999999999" customHeight="1" x14ac:dyDescent="0.25">
      <c r="B39" s="63" t="s">
        <v>52</v>
      </c>
      <c r="C39" s="63"/>
      <c r="D39" s="63"/>
      <c r="E39" s="64" t="s">
        <v>64</v>
      </c>
      <c r="F39" s="64"/>
      <c r="G39" s="64"/>
      <c r="H39" s="64"/>
      <c r="I39" s="64"/>
      <c r="J39" s="65"/>
    </row>
    <row r="40" spans="2:10" s="40" customFormat="1" ht="17.399999999999999" customHeight="1" x14ac:dyDescent="0.25">
      <c r="B40" s="56" t="s">
        <v>53</v>
      </c>
      <c r="C40" s="57" t="s">
        <v>6</v>
      </c>
      <c r="D40" s="58"/>
      <c r="E40" s="87" t="s">
        <v>12</v>
      </c>
      <c r="F40" s="64"/>
      <c r="G40" s="64"/>
      <c r="H40" s="64"/>
      <c r="I40" s="64"/>
      <c r="J40" s="65"/>
    </row>
    <row r="41" spans="2:10" s="40" customFormat="1" ht="17.399999999999999" customHeight="1" x14ac:dyDescent="0.25">
      <c r="B41" s="71" t="s">
        <v>11</v>
      </c>
      <c r="C41" s="71"/>
      <c r="D41" s="71"/>
      <c r="E41" s="66" t="s">
        <v>10</v>
      </c>
      <c r="F41" s="66"/>
      <c r="G41" s="66"/>
      <c r="H41" s="66"/>
      <c r="I41" s="66"/>
      <c r="J41" s="66"/>
    </row>
    <row r="42" spans="2:10" s="40" customFormat="1" x14ac:dyDescent="0.25">
      <c r="B42" s="59" t="s">
        <v>54</v>
      </c>
      <c r="C42" s="54" t="s">
        <v>6</v>
      </c>
      <c r="D42" s="55"/>
      <c r="E42" s="43" t="inlineStr">
        <is>
          <t xml:space="preserve">850×203×291</t>
        </is>
      </c>
      <c r="F42" s="54" t="inlineStr">
        <is>
          <t xml:space="preserve">850×203×291</t>
        </is>
      </c>
      <c r="G42" s="43" t="inlineStr">
        <is>
          <t xml:space="preserve">972×221×303</t>
        </is>
      </c>
      <c r="H42" s="54" t="inlineStr">
        <is>
          <t xml:space="preserve">972×221×303</t>
        </is>
      </c>
      <c r="I42" s="43" t="inlineStr">
        <is>
          <t xml:space="preserve">1081×248×327</t>
        </is>
      </c>
      <c r="J42" s="54" t="inlineStr">
        <is>
          <t xml:space="preserve">1081×248×327</t>
        </is>
      </c>
    </row>
    <row r="43" spans="2:10" s="40" customFormat="1" x14ac:dyDescent="0.25">
      <c r="B43" s="59" t="s">
        <v>55</v>
      </c>
      <c r="C43" s="54" t="s">
        <v>6</v>
      </c>
      <c r="D43" s="55"/>
      <c r="E43" s="67" t="inlineStr">
        <is>
          <t xml:space="preserve">927×287×365</t>
        </is>
      </c>
      <c r="F43" s="68"/>
      <c r="G43" s="69" t="inlineStr">
        <is>
          <t xml:space="preserve">1044×304×374</t>
        </is>
      </c>
      <c r="H43" s="70"/>
      <c r="I43" s="69" t="inlineStr">
        <is>
          <t xml:space="preserve">1155×342×410</t>
        </is>
      </c>
      <c r="J43" s="70"/>
    </row>
    <row r="44" spans="2:10" s="40" customFormat="1" x14ac:dyDescent="0.25">
      <c r="B44" s="60" t="s">
        <v>2</v>
      </c>
      <c r="C44" s="54" t="s">
        <v>0</v>
      </c>
      <c r="D44" s="55"/>
      <c r="E44" s="43">
        <v>9.8000000000000007</v>
      </c>
      <c r="F44" s="61">
        <v>9.8000000000000007</v>
      </c>
      <c r="G44" s="43">
        <v>12.7</v>
      </c>
      <c r="H44" s="61">
        <v>12.7</v>
      </c>
      <c r="I44" s="43">
        <v>15</v>
      </c>
      <c r="J44" s="61">
        <v>15</v>
      </c>
    </row>
    <row r="45" spans="2:10" s="40" customFormat="1" x14ac:dyDescent="0.25">
      <c r="B45" s="60" t="s">
        <v>1</v>
      </c>
      <c r="C45" s="54" t="s">
        <v>0</v>
      </c>
      <c r="D45" s="55"/>
      <c r="E45" s="43">
        <v>11.6</v>
      </c>
      <c r="F45" s="61">
        <v>11.6</v>
      </c>
      <c r="G45" s="43">
        <v>14.7</v>
      </c>
      <c r="H45" s="61">
        <v>14.7</v>
      </c>
      <c r="I45" s="43">
        <v>17.8</v>
      </c>
      <c r="J45" s="61">
        <v>17.8</v>
      </c>
    </row>
    <row r="46" spans="2:10" s="40" customFormat="1" x14ac:dyDescent="0.25">
      <c r="B46" s="62"/>
    </row>
    <row r="47" spans="2:10" s="40" customFormat="1" x14ac:dyDescent="0.25">
      <c r="B47" s="62"/>
    </row>
  </sheetData>
  <sheetProtection algorithmName="SHA-512" hashValue="fOZzaiX4UMBMlhnSeGU0u3NwVYg0wpuaJ3xguuIIUILFW1sno1JuYZ6qH8T7F+kC0G1RnAQNgAKLI/5a1CHCvA==" saltValue="lxeY4M/2AMDS/tOynERpbQ==" spinCount="100000" sheet="1" objects="1" scenarios="1"/>
  <mergeCells count="33">
    <mergeCell ref="B31:B32"/>
    <mergeCell ref="C31:C32"/>
    <mergeCell ref="B21:B23"/>
    <mergeCell ref="B24:D24"/>
    <mergeCell ref="E24:J24"/>
    <mergeCell ref="B27:B29"/>
    <mergeCell ref="C27:C29"/>
    <mergeCell ref="B41:D41"/>
    <mergeCell ref="E33:J33"/>
    <mergeCell ref="B34:D34"/>
    <mergeCell ref="B15:B17"/>
    <mergeCell ref="D6:H7"/>
    <mergeCell ref="E8:H8"/>
    <mergeCell ref="B11:D11"/>
    <mergeCell ref="B12:B14"/>
    <mergeCell ref="C12:C14"/>
    <mergeCell ref="B18:B20"/>
    <mergeCell ref="E38:J38"/>
    <mergeCell ref="B36:D36"/>
    <mergeCell ref="E36:J36"/>
    <mergeCell ref="B39:D39"/>
    <mergeCell ref="E39:J39"/>
    <mergeCell ref="E40:J40"/>
    <mergeCell ref="E41:J41"/>
    <mergeCell ref="E43:F43"/>
    <mergeCell ref="G43:H43"/>
    <mergeCell ref="I43:J43"/>
    <mergeCell ref="E34:J34"/>
    <mergeCell ref="B35:D35"/>
    <mergeCell ref="E35:J35"/>
    <mergeCell ref="B37:D37"/>
    <mergeCell ref="E37:J37"/>
    <mergeCell ref="B38:D38"/>
  </mergeCells>
  <conditionalFormatting sqref="E15:J20">
    <cfRule type="cellIs" dxfId="1" priority="1" operator="between">
      <formula>$Y$4</formula>
      <formula>$Y$5</formula>
    </cfRule>
  </conditionalFormatting>
  <conditionalFormatting sqref="E21:J23">
    <cfRule type="cellIs" dxfId="0" priority="2" operator="between">
      <formula>$Y$4</formula>
      <formula>$Y$5</formula>
    </cfRule>
  </conditionalFormatting>
  <dataValidations count="6">
    <dataValidation type="custom" allowBlank="1" showErrorMessage="1" errorTitle="Invalid value" error="Water inlet temperature: 3-14 °C (cooling) or 30-70 °C (heating)." sqref="J2" xr:uid="{00000000-0002-0000-0000-000000000000}">
      <formula1>OR(AND(J2&gt;=3,J2&lt;=14),AND(J2&gt;=30,J2&lt;=70))</formula1>
    </dataValidation>
    <dataValidation type="custom" errorStyle="warning" allowBlank="1" showErrorMessage="1" errorTitle="Water ΔT" error="Recommended water ΔT (inlet/outlet difference) is 3-8 K. Outside this range the calculation accuracy is reduced." sqref="J3" xr:uid="{00000000-0002-0000-0000-000001000000}">
      <formula1>AND(ABS(J2-J3)&gt;=3,ABS(J2-J3)&lt;=8)</formula1>
    </dataValidation>
    <dataValidation type="decimal" allowBlank="1" showErrorMessage="1" errorTitle="Invalid value" error="Room temperature: 16-32 °C." sqref="J4" xr:uid="{00000000-0002-0000-0000-000002000000}">
      <formula1>16</formula1>
      <formula2>32</formula2>
    </dataValidation>
    <dataValidation type="decimal" allowBlank="1" showErrorMessage="1" errorTitle="Invalid value" error="Room relative humidity: 30-80 %." sqref="J5" xr:uid="{00000000-0002-0000-0000-000003000000}">
      <formula1>30</formula1>
      <formula2>80</formula2>
    </dataValidation>
    <dataValidation type="decimal" operator="greaterThan" allowBlank="1" showErrorMessage="1" errorTitle="Invalid value" error="Enter a capacity greater than 0 W." sqref="J7" xr:uid="{00000000-0002-0000-0000-000004000000}">
      <formula1>0</formula1>
    </dataValidation>
    <dataValidation type="decimal" allowBlank="1" showErrorMessage="1" errorTitle="Invalid value" error="Enter a value from 0 to 100 %." sqref="J8 J9" xr:uid="{00000000-0002-0000-0000-000005000000}">
      <formula1>0</formula1>
      <formula2>1</formula2>
    </dataValidation>
  </dataValidations>
  <printOptions horizontalCentered="1"/>
  <pageMargins left="0.39370078740157483" right="0.39370078740157483" top="0.39370078740157483" bottom="0.35433070866141736" header="0.31496062992125984" footer="0.31496062992125984"/>
  <pageSetup scale="75" orientation="landscape" verticalDpi="0" r:id="rId1"/>
  <ignoredErrors>
    <ignoredError sqref="E11:J14 E30:J30 E16:J17 E19:J20 E22:J2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HWF Select</vt:lpstr>
      <vt:lpstr>'HWF Select'!Print_Area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Donatas Grigonis</cp:lastModifiedBy>
  <cp:lastPrinted>2026-09-21T08:40:24Z</cp:lastPrinted>
  <dcterms:created xsi:type="dcterms:W3CDTF">2026-01-10T19:45:25Z</dcterms:created>
  <dcterms:modified xsi:type="dcterms:W3CDTF">2026-10-06T15:33:13Z</dcterms:modified>
</cp:coreProperties>
</file>