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5f3ca257ae7b43be/Desktop/"/>
    </mc:Choice>
  </mc:AlternateContent>
  <xr:revisionPtr revIDLastSave="0" documentId="8_{9F672E1F-4092-4AFD-B9A8-7673471AB5CB}" xr6:coauthVersionLast="47" xr6:coauthVersionMax="47" xr10:uidLastSave="{00000000-0000-0000-0000-000000000000}"/>
  <bookViews>
    <workbookView xWindow="-108" yWindow="-108" windowWidth="23256" windowHeight="12456" tabRatio="815" firstSheet="1" activeTab="1" xr2:uid="{D82989E4-3ADF-4068-909B-B8C4E6191F7A}"/>
  </bookViews>
  <sheets>
    <sheet name="FH4-H Select" sheetId="7" state="hidden" r:id="rId1"/>
    <sheet name="DF2 AC Select" sheetId="1" r:id="rId2"/>
    <sheet name="DF4 AC Select" sheetId="2" r:id="rId3"/>
    <sheet name="DF2 EC Select" sheetId="3" r:id="rId4"/>
    <sheet name="DF4 EC Select" sheetId="4" r:id="rId5"/>
  </sheets>
  <externalReferences>
    <externalReference r:id="rId6"/>
  </externalReferences>
  <definedNames>
    <definedName name="__xlnm.Print_Area">'[1]FC select'!$B$60:$Z$74</definedName>
    <definedName name="_xlnm.Print_Area" localSheetId="1">'DF2 AC Select'!$B$2:$M$49</definedName>
    <definedName name="_xlnm.Print_Area" localSheetId="3">'DF2 EC Select'!$B$2:$M$49</definedName>
    <definedName name="_xlnm.Print_Area" localSheetId="2">'DF4 AC Select'!$B$2:$M$93</definedName>
    <definedName name="_xlnm.Print_Area" localSheetId="4">'DF4 EC Select'!$B$2:$M$93</definedName>
    <definedName name="_xlnm.Print_Area" localSheetId="0">'FH4-H Select'!$B$2:$J$41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7" l="1"/>
  <c r="I23" i="7"/>
  <c r="H23" i="7"/>
  <c r="G23" i="7"/>
  <c r="F23" i="7"/>
  <c r="E23" i="7"/>
  <c r="E18" i="7"/>
  <c r="J16" i="7"/>
  <c r="I16" i="7"/>
  <c r="H16" i="7"/>
  <c r="G16" i="7"/>
  <c r="F16" i="7"/>
  <c r="J15" i="7"/>
  <c r="I15" i="7"/>
  <c r="H15" i="7"/>
  <c r="G15" i="7"/>
  <c r="F15" i="7"/>
  <c r="J14" i="7"/>
  <c r="I14" i="7"/>
  <c r="H14" i="7"/>
  <c r="G14" i="7"/>
  <c r="F14" i="7"/>
  <c r="J13" i="7"/>
  <c r="I13" i="7"/>
  <c r="H13" i="7"/>
  <c r="G13" i="7"/>
  <c r="F13" i="7"/>
  <c r="J12" i="7"/>
  <c r="I12" i="7"/>
  <c r="H12" i="7"/>
  <c r="G12" i="7"/>
  <c r="F12" i="7"/>
  <c r="AF9" i="7"/>
  <c r="AF8" i="7"/>
  <c r="J5" i="7"/>
  <c r="J21" i="7" s="1"/>
  <c r="E20" i="7" l="1"/>
  <c r="I18" i="7"/>
  <c r="J20" i="7"/>
  <c r="E17" i="7"/>
  <c r="E30" i="7" s="1"/>
  <c r="E19" i="7"/>
  <c r="E21" i="7"/>
  <c r="F17" i="7"/>
  <c r="F30" i="7" s="1"/>
  <c r="F19" i="7"/>
  <c r="F21" i="7"/>
  <c r="F18" i="7"/>
  <c r="G20" i="7"/>
  <c r="H18" i="7"/>
  <c r="H20" i="7"/>
  <c r="J18" i="7"/>
  <c r="G17" i="7"/>
  <c r="G30" i="7" s="1"/>
  <c r="G19" i="7"/>
  <c r="G21" i="7"/>
  <c r="H17" i="7"/>
  <c r="H30" i="7" s="1"/>
  <c r="H19" i="7"/>
  <c r="H21" i="7"/>
  <c r="F20" i="7"/>
  <c r="G18" i="7"/>
  <c r="I20" i="7"/>
  <c r="I17" i="7"/>
  <c r="I30" i="7" s="1"/>
  <c r="I19" i="7"/>
  <c r="I21" i="7"/>
  <c r="J17" i="7"/>
  <c r="J30" i="7" s="1"/>
  <c r="J19" i="7"/>
  <c r="V2" i="4" l="1"/>
  <c r="V3" i="4"/>
  <c r="F22" i="4" s="1"/>
  <c r="V4" i="4"/>
  <c r="V5" i="4"/>
  <c r="E22" i="4"/>
  <c r="E65" i="4"/>
  <c r="F65" i="4"/>
  <c r="G65" i="4"/>
  <c r="H65" i="4"/>
  <c r="I65" i="4"/>
  <c r="E72" i="4"/>
  <c r="F72" i="4"/>
  <c r="G72" i="4"/>
  <c r="H72" i="4"/>
  <c r="I72" i="4"/>
  <c r="J72" i="4"/>
  <c r="K72" i="4"/>
  <c r="L72" i="4"/>
  <c r="M72" i="4"/>
  <c r="E73" i="4"/>
  <c r="F73" i="4"/>
  <c r="G73" i="4"/>
  <c r="H73" i="4"/>
  <c r="I73" i="4"/>
  <c r="J73" i="4"/>
  <c r="K73" i="4"/>
  <c r="L73" i="4"/>
  <c r="M73" i="4"/>
  <c r="E74" i="4"/>
  <c r="F74" i="4"/>
  <c r="G74" i="4"/>
  <c r="H74" i="4"/>
  <c r="I74" i="4"/>
  <c r="J74" i="4"/>
  <c r="K74" i="4"/>
  <c r="L74" i="4"/>
  <c r="M74" i="4"/>
  <c r="V2" i="3"/>
  <c r="K22" i="3" s="1"/>
  <c r="K23" i="3" s="1"/>
  <c r="V3" i="3"/>
  <c r="V4" i="3"/>
  <c r="V5" i="3"/>
  <c r="V2" i="2"/>
  <c r="V3" i="2"/>
  <c r="V4" i="2"/>
  <c r="V5" i="2"/>
  <c r="E29" i="2"/>
  <c r="F29" i="2"/>
  <c r="G29" i="2"/>
  <c r="H29" i="2"/>
  <c r="I29" i="2"/>
  <c r="J29" i="2"/>
  <c r="K29" i="2"/>
  <c r="L29" i="2"/>
  <c r="M29" i="2"/>
  <c r="E30" i="2"/>
  <c r="F30" i="2"/>
  <c r="G30" i="2"/>
  <c r="H30" i="2"/>
  <c r="I30" i="2"/>
  <c r="J30" i="2"/>
  <c r="K30" i="2"/>
  <c r="L30" i="2"/>
  <c r="M30" i="2"/>
  <c r="E31" i="2"/>
  <c r="F31" i="2"/>
  <c r="G31" i="2"/>
  <c r="H31" i="2"/>
  <c r="I31" i="2"/>
  <c r="J31" i="2"/>
  <c r="K31" i="2"/>
  <c r="L31" i="2"/>
  <c r="M31" i="2"/>
  <c r="V2" i="1"/>
  <c r="V3" i="1"/>
  <c r="V4" i="1"/>
  <c r="V5" i="1"/>
  <c r="E29" i="1"/>
  <c r="F29" i="1"/>
  <c r="G29" i="1"/>
  <c r="H29" i="1"/>
  <c r="I29" i="1"/>
  <c r="J29" i="1"/>
  <c r="K29" i="1"/>
  <c r="L29" i="1"/>
  <c r="M29" i="1"/>
  <c r="E30" i="1"/>
  <c r="F30" i="1"/>
  <c r="G30" i="1"/>
  <c r="H30" i="1"/>
  <c r="I30" i="1"/>
  <c r="J30" i="1"/>
  <c r="K30" i="1"/>
  <c r="L30" i="1"/>
  <c r="M30" i="1"/>
  <c r="E31" i="1"/>
  <c r="F31" i="1"/>
  <c r="G31" i="1"/>
  <c r="H31" i="1"/>
  <c r="I31" i="1"/>
  <c r="J31" i="1"/>
  <c r="K31" i="1"/>
  <c r="L31" i="1"/>
  <c r="M31" i="1"/>
  <c r="H19" i="4" l="1"/>
  <c r="H21" i="4" s="1"/>
  <c r="K65" i="4"/>
  <c r="K66" i="4" s="1"/>
  <c r="L65" i="4"/>
  <c r="J65" i="4"/>
  <c r="J66" i="4" s="1"/>
  <c r="H66" i="4"/>
  <c r="H79" i="4"/>
  <c r="L79" i="4"/>
  <c r="K67" i="4"/>
  <c r="K79" i="4"/>
  <c r="F66" i="4"/>
  <c r="F79" i="4"/>
  <c r="J67" i="4"/>
  <c r="J79" i="4"/>
  <c r="G66" i="4"/>
  <c r="G79" i="4"/>
  <c r="E66" i="4"/>
  <c r="E79" i="4"/>
  <c r="I66" i="4"/>
  <c r="I79" i="4"/>
  <c r="G22" i="4"/>
  <c r="G24" i="4" s="1"/>
  <c r="E24" i="4"/>
  <c r="E36" i="4"/>
  <c r="F23" i="4"/>
  <c r="F36" i="4"/>
  <c r="G23" i="4"/>
  <c r="G36" i="4"/>
  <c r="G19" i="1"/>
  <c r="G16" i="1" s="1"/>
  <c r="K22" i="2"/>
  <c r="M22" i="4"/>
  <c r="L22" i="4"/>
  <c r="L36" i="4" s="1"/>
  <c r="K22" i="4"/>
  <c r="K36" i="4" s="1"/>
  <c r="J22" i="4"/>
  <c r="J36" i="4" s="1"/>
  <c r="M65" i="4"/>
  <c r="H22" i="4"/>
  <c r="H24" i="4" s="1"/>
  <c r="I22" i="4"/>
  <c r="I67" i="4"/>
  <c r="F67" i="4"/>
  <c r="E67" i="4"/>
  <c r="H67" i="4"/>
  <c r="G67" i="4"/>
  <c r="F19" i="4"/>
  <c r="L62" i="4"/>
  <c r="L59" i="4" s="1"/>
  <c r="L78" i="4" s="1"/>
  <c r="M19" i="4"/>
  <c r="M16" i="4" s="1"/>
  <c r="M35" i="4" s="1"/>
  <c r="J62" i="4"/>
  <c r="J59" i="4" s="1"/>
  <c r="J78" i="4" s="1"/>
  <c r="K19" i="4"/>
  <c r="H62" i="4"/>
  <c r="H59" i="4" s="1"/>
  <c r="H78" i="4" s="1"/>
  <c r="G62" i="4"/>
  <c r="G59" i="4" s="1"/>
  <c r="G78" i="4" s="1"/>
  <c r="F62" i="4"/>
  <c r="F59" i="4" s="1"/>
  <c r="F78" i="4" s="1"/>
  <c r="E62" i="4"/>
  <c r="E59" i="4"/>
  <c r="E78" i="4" s="1"/>
  <c r="E19" i="4"/>
  <c r="E16" i="4" s="1"/>
  <c r="E35" i="4" s="1"/>
  <c r="G16" i="4"/>
  <c r="G35" i="4" s="1"/>
  <c r="L19" i="4"/>
  <c r="L16" i="4" s="1"/>
  <c r="L35" i="4" s="1"/>
  <c r="J19" i="4"/>
  <c r="J16" i="4" s="1"/>
  <c r="J35" i="4" s="1"/>
  <c r="I19" i="4"/>
  <c r="I16" i="4"/>
  <c r="I35" i="4" s="1"/>
  <c r="F16" i="4"/>
  <c r="F35" i="4" s="1"/>
  <c r="I62" i="4"/>
  <c r="I59" i="4" s="1"/>
  <c r="I78" i="4" s="1"/>
  <c r="K16" i="4"/>
  <c r="K35" i="4" s="1"/>
  <c r="M62" i="4"/>
  <c r="M59" i="4" s="1"/>
  <c r="M78" i="4" s="1"/>
  <c r="K62" i="4"/>
  <c r="K59" i="4"/>
  <c r="K78" i="4" s="1"/>
  <c r="H16" i="4"/>
  <c r="G19" i="4"/>
  <c r="F65" i="2"/>
  <c r="M65" i="2"/>
  <c r="L65" i="2"/>
  <c r="H22" i="2"/>
  <c r="F22" i="2"/>
  <c r="M62" i="2"/>
  <c r="M59" i="2" s="1"/>
  <c r="M78" i="2" s="1"/>
  <c r="L62" i="2"/>
  <c r="L59" i="2" s="1"/>
  <c r="L78" i="2" s="1"/>
  <c r="K62" i="2"/>
  <c r="K59" i="2" s="1"/>
  <c r="K78" i="2" s="1"/>
  <c r="J62" i="2"/>
  <c r="J59" i="2" s="1"/>
  <c r="J78" i="2" s="1"/>
  <c r="I62" i="2"/>
  <c r="I59" i="2" s="1"/>
  <c r="I78" i="2" s="1"/>
  <c r="G62" i="2"/>
  <c r="G59" i="2" s="1"/>
  <c r="G78" i="2" s="1"/>
  <c r="M19" i="2"/>
  <c r="M16" i="2" s="1"/>
  <c r="M35" i="2" s="1"/>
  <c r="F62" i="2"/>
  <c r="F59" i="2" s="1"/>
  <c r="F78" i="2" s="1"/>
  <c r="K19" i="2"/>
  <c r="K16" i="2" s="1"/>
  <c r="K35" i="2" s="1"/>
  <c r="I19" i="2"/>
  <c r="I16" i="2" s="1"/>
  <c r="I35" i="2" s="1"/>
  <c r="H19" i="2"/>
  <c r="H16" i="2" s="1"/>
  <c r="H35" i="2" s="1"/>
  <c r="E19" i="2"/>
  <c r="E16" i="2" s="1"/>
  <c r="E35" i="2" s="1"/>
  <c r="H62" i="2"/>
  <c r="H59" i="2" s="1"/>
  <c r="H78" i="2" s="1"/>
  <c r="J19" i="2"/>
  <c r="J16" i="2" s="1"/>
  <c r="J35" i="2" s="1"/>
  <c r="L19" i="2"/>
  <c r="L16" i="2" s="1"/>
  <c r="L35" i="2" s="1"/>
  <c r="G19" i="2"/>
  <c r="G16" i="2" s="1"/>
  <c r="G35" i="2" s="1"/>
  <c r="F19" i="2"/>
  <c r="F16" i="2" s="1"/>
  <c r="F35" i="2" s="1"/>
  <c r="E62" i="2"/>
  <c r="E59" i="2" s="1"/>
  <c r="E78" i="2" s="1"/>
  <c r="K65" i="2"/>
  <c r="G22" i="2"/>
  <c r="H65" i="2"/>
  <c r="G65" i="2"/>
  <c r="M22" i="1"/>
  <c r="M24" i="1" s="1"/>
  <c r="F22" i="3"/>
  <c r="F24" i="3" s="1"/>
  <c r="J22" i="3"/>
  <c r="J23" i="3" s="1"/>
  <c r="G22" i="3"/>
  <c r="G24" i="3" s="1"/>
  <c r="K24" i="3"/>
  <c r="M22" i="3"/>
  <c r="H22" i="3"/>
  <c r="H23" i="3" s="1"/>
  <c r="L22" i="3"/>
  <c r="E22" i="3"/>
  <c r="E24" i="3" s="1"/>
  <c r="I22" i="3"/>
  <c r="E19" i="3"/>
  <c r="F16" i="3"/>
  <c r="F35" i="3" s="1"/>
  <c r="E16" i="3"/>
  <c r="E35" i="3" s="1"/>
  <c r="M19" i="3"/>
  <c r="K19" i="3"/>
  <c r="M16" i="3"/>
  <c r="M35" i="3" s="1"/>
  <c r="J19" i="3"/>
  <c r="I19" i="3"/>
  <c r="K16" i="3"/>
  <c r="K35" i="3" s="1"/>
  <c r="H19" i="3"/>
  <c r="J16" i="3"/>
  <c r="J35" i="3" s="1"/>
  <c r="I16" i="3"/>
  <c r="I35" i="3" s="1"/>
  <c r="F19" i="3"/>
  <c r="H16" i="3"/>
  <c r="H35" i="3" s="1"/>
  <c r="L19" i="3"/>
  <c r="L16" i="3" s="1"/>
  <c r="L35" i="3" s="1"/>
  <c r="G19" i="3"/>
  <c r="G16" i="3" s="1"/>
  <c r="G35" i="3" s="1"/>
  <c r="K22" i="1"/>
  <c r="K23" i="1" s="1"/>
  <c r="L22" i="1"/>
  <c r="L24" i="1" s="1"/>
  <c r="I22" i="1"/>
  <c r="I23" i="1" s="1"/>
  <c r="J22" i="1"/>
  <c r="J23" i="1" s="1"/>
  <c r="I19" i="1"/>
  <c r="I16" i="1" s="1"/>
  <c r="I35" i="1" s="1"/>
  <c r="H19" i="1"/>
  <c r="H16" i="1" s="1"/>
  <c r="E19" i="1"/>
  <c r="E16" i="1" s="1"/>
  <c r="M19" i="1"/>
  <c r="M16" i="1" s="1"/>
  <c r="F19" i="1"/>
  <c r="F16" i="1" s="1"/>
  <c r="L19" i="1"/>
  <c r="L16" i="1" s="1"/>
  <c r="K19" i="1"/>
  <c r="K16" i="1" s="1"/>
  <c r="J19" i="1"/>
  <c r="J16" i="1" s="1"/>
  <c r="H22" i="1"/>
  <c r="H23" i="1" s="1"/>
  <c r="G22" i="1"/>
  <c r="G23" i="1" s="1"/>
  <c r="F22" i="1"/>
  <c r="F24" i="1" s="1"/>
  <c r="E22" i="1"/>
  <c r="E24" i="1" s="1"/>
  <c r="F24" i="4"/>
  <c r="E23" i="4"/>
  <c r="I22" i="2"/>
  <c r="J65" i="2"/>
  <c r="M22" i="2"/>
  <c r="E65" i="2"/>
  <c r="E79" i="2" s="1"/>
  <c r="J22" i="2"/>
  <c r="J36" i="2" s="1"/>
  <c r="I65" i="2"/>
  <c r="E22" i="2"/>
  <c r="L22" i="2"/>
  <c r="L36" i="2" s="1"/>
  <c r="H35" i="4" l="1"/>
  <c r="H17" i="4"/>
  <c r="L67" i="4"/>
  <c r="L66" i="4"/>
  <c r="H35" i="1"/>
  <c r="I23" i="3"/>
  <c r="I24" i="3"/>
  <c r="M67" i="4"/>
  <c r="M79" i="4"/>
  <c r="H36" i="4"/>
  <c r="M23" i="4"/>
  <c r="M36" i="4"/>
  <c r="I23" i="4"/>
  <c r="I36" i="4"/>
  <c r="H66" i="2"/>
  <c r="H79" i="2"/>
  <c r="I67" i="2"/>
  <c r="I79" i="2"/>
  <c r="J67" i="2"/>
  <c r="J79" i="2"/>
  <c r="L66" i="2"/>
  <c r="L79" i="2"/>
  <c r="F66" i="2"/>
  <c r="F79" i="2"/>
  <c r="K67" i="2"/>
  <c r="K79" i="2"/>
  <c r="M66" i="2"/>
  <c r="M79" i="2"/>
  <c r="G67" i="2"/>
  <c r="G79" i="2"/>
  <c r="M23" i="2"/>
  <c r="M36" i="2"/>
  <c r="E24" i="2"/>
  <c r="E36" i="2"/>
  <c r="G24" i="2"/>
  <c r="G36" i="2"/>
  <c r="F24" i="2"/>
  <c r="F36" i="2"/>
  <c r="K23" i="2"/>
  <c r="K36" i="2"/>
  <c r="I24" i="2"/>
  <c r="I36" i="2"/>
  <c r="H24" i="2"/>
  <c r="H36" i="2"/>
  <c r="F23" i="3"/>
  <c r="M35" i="1"/>
  <c r="J35" i="1"/>
  <c r="K35" i="1"/>
  <c r="L35" i="1"/>
  <c r="F35" i="1"/>
  <c r="E35" i="1"/>
  <c r="G35" i="1"/>
  <c r="M24" i="4"/>
  <c r="J24" i="3"/>
  <c r="H24" i="1"/>
  <c r="F23" i="1"/>
  <c r="K24" i="2"/>
  <c r="M66" i="4"/>
  <c r="I24" i="4"/>
  <c r="J23" i="4"/>
  <c r="J24" i="4"/>
  <c r="K24" i="4"/>
  <c r="K23" i="4"/>
  <c r="L23" i="4"/>
  <c r="L24" i="4"/>
  <c r="H23" i="4"/>
  <c r="F18" i="4"/>
  <c r="F17" i="4"/>
  <c r="L64" i="4"/>
  <c r="L63" i="4"/>
  <c r="G60" i="4"/>
  <c r="G61" i="4"/>
  <c r="J64" i="4"/>
  <c r="J63" i="4"/>
  <c r="I61" i="4"/>
  <c r="I60" i="4"/>
  <c r="J21" i="4"/>
  <c r="J20" i="4"/>
  <c r="K64" i="4"/>
  <c r="K63" i="4"/>
  <c r="F20" i="4"/>
  <c r="F21" i="4"/>
  <c r="L61" i="4"/>
  <c r="L60" i="4"/>
  <c r="G21" i="4"/>
  <c r="G20" i="4"/>
  <c r="I18" i="4"/>
  <c r="I17" i="4"/>
  <c r="H61" i="4"/>
  <c r="H60" i="4"/>
  <c r="I21" i="4"/>
  <c r="I20" i="4"/>
  <c r="M64" i="4"/>
  <c r="M63" i="4"/>
  <c r="M61" i="4"/>
  <c r="M60" i="4"/>
  <c r="F60" i="4"/>
  <c r="F61" i="4"/>
  <c r="H63" i="4"/>
  <c r="H64" i="4"/>
  <c r="M21" i="4"/>
  <c r="M20" i="4"/>
  <c r="G17" i="4"/>
  <c r="G18" i="4"/>
  <c r="G63" i="4"/>
  <c r="G64" i="4"/>
  <c r="K21" i="4"/>
  <c r="K20" i="4"/>
  <c r="H20" i="4"/>
  <c r="J61" i="4"/>
  <c r="J60" i="4"/>
  <c r="K61" i="4"/>
  <c r="K60" i="4"/>
  <c r="M18" i="4"/>
  <c r="M17" i="4"/>
  <c r="H18" i="4"/>
  <c r="L21" i="4"/>
  <c r="L20" i="4"/>
  <c r="E18" i="4"/>
  <c r="E17" i="4"/>
  <c r="J18" i="4"/>
  <c r="J17" i="4"/>
  <c r="E20" i="4"/>
  <c r="E21" i="4"/>
  <c r="K18" i="4"/>
  <c r="K17" i="4"/>
  <c r="E60" i="4"/>
  <c r="E61" i="4"/>
  <c r="L18" i="4"/>
  <c r="L17" i="4"/>
  <c r="E63" i="4"/>
  <c r="E64" i="4"/>
  <c r="I64" i="4"/>
  <c r="I63" i="4"/>
  <c r="F63" i="4"/>
  <c r="F64" i="4"/>
  <c r="J66" i="2"/>
  <c r="H23" i="2"/>
  <c r="H67" i="2"/>
  <c r="G23" i="2"/>
  <c r="M67" i="2"/>
  <c r="F23" i="2"/>
  <c r="F67" i="2"/>
  <c r="G66" i="2"/>
  <c r="I66" i="2"/>
  <c r="L67" i="2"/>
  <c r="F60" i="2"/>
  <c r="F61" i="2"/>
  <c r="K64" i="2"/>
  <c r="K63" i="2"/>
  <c r="F21" i="2"/>
  <c r="F20" i="2"/>
  <c r="G21" i="2"/>
  <c r="G20" i="2"/>
  <c r="L64" i="2"/>
  <c r="L63" i="2"/>
  <c r="M17" i="2"/>
  <c r="M18" i="2"/>
  <c r="M21" i="2"/>
  <c r="M20" i="2"/>
  <c r="H18" i="2"/>
  <c r="H17" i="2"/>
  <c r="G63" i="2"/>
  <c r="G64" i="2"/>
  <c r="M64" i="2"/>
  <c r="M63" i="2"/>
  <c r="H21" i="2"/>
  <c r="H20" i="2"/>
  <c r="I20" i="2"/>
  <c r="I21" i="2"/>
  <c r="K20" i="2"/>
  <c r="K21" i="2"/>
  <c r="G61" i="2"/>
  <c r="G60" i="2"/>
  <c r="F63" i="2"/>
  <c r="F64" i="2"/>
  <c r="H60" i="2"/>
  <c r="H61" i="2"/>
  <c r="I18" i="2"/>
  <c r="I17" i="2"/>
  <c r="H63" i="2"/>
  <c r="H64" i="2"/>
  <c r="E61" i="2"/>
  <c r="E60" i="2"/>
  <c r="K61" i="2"/>
  <c r="K60" i="2"/>
  <c r="I60" i="2"/>
  <c r="I61" i="2"/>
  <c r="M61" i="2"/>
  <c r="M60" i="2"/>
  <c r="E18" i="2"/>
  <c r="E17" i="2"/>
  <c r="I64" i="2"/>
  <c r="I63" i="2"/>
  <c r="K17" i="2"/>
  <c r="K18" i="2"/>
  <c r="L17" i="2"/>
  <c r="L18" i="2"/>
  <c r="F17" i="2"/>
  <c r="F18" i="2"/>
  <c r="G18" i="2"/>
  <c r="G17" i="2"/>
  <c r="L21" i="2"/>
  <c r="L20" i="2"/>
  <c r="J20" i="2"/>
  <c r="J21" i="2"/>
  <c r="K66" i="2"/>
  <c r="E20" i="2"/>
  <c r="E21" i="2"/>
  <c r="J17" i="2"/>
  <c r="J18" i="2"/>
  <c r="E64" i="2"/>
  <c r="E63" i="2"/>
  <c r="L60" i="2"/>
  <c r="L61" i="2"/>
  <c r="J61" i="2"/>
  <c r="J60" i="2"/>
  <c r="J64" i="2"/>
  <c r="J63" i="2"/>
  <c r="M23" i="1"/>
  <c r="L23" i="1"/>
  <c r="K24" i="1"/>
  <c r="I24" i="1"/>
  <c r="G23" i="3"/>
  <c r="M24" i="3"/>
  <c r="M23" i="3"/>
  <c r="L24" i="3"/>
  <c r="L23" i="3"/>
  <c r="E23" i="3"/>
  <c r="H24" i="3"/>
  <c r="L18" i="3"/>
  <c r="L17" i="3"/>
  <c r="M18" i="3"/>
  <c r="M17" i="3"/>
  <c r="K21" i="3"/>
  <c r="K20" i="3"/>
  <c r="M21" i="3"/>
  <c r="M20" i="3"/>
  <c r="G20" i="3"/>
  <c r="G21" i="3"/>
  <c r="E17" i="3"/>
  <c r="E18" i="3"/>
  <c r="G17" i="3"/>
  <c r="G18" i="3"/>
  <c r="I18" i="3"/>
  <c r="I17" i="3"/>
  <c r="J18" i="3"/>
  <c r="J17" i="3"/>
  <c r="H20" i="3"/>
  <c r="H21" i="3"/>
  <c r="K18" i="3"/>
  <c r="K17" i="3"/>
  <c r="I21" i="3"/>
  <c r="I20" i="3"/>
  <c r="J21" i="3"/>
  <c r="J20" i="3"/>
  <c r="L21" i="3"/>
  <c r="L20" i="3"/>
  <c r="F17" i="3"/>
  <c r="F18" i="3"/>
  <c r="H18" i="3"/>
  <c r="H17" i="3"/>
  <c r="F20" i="3"/>
  <c r="F21" i="3"/>
  <c r="E20" i="3"/>
  <c r="E21" i="3"/>
  <c r="G24" i="1"/>
  <c r="E23" i="1"/>
  <c r="J24" i="1"/>
  <c r="K18" i="1"/>
  <c r="K17" i="1"/>
  <c r="F20" i="1"/>
  <c r="F21" i="1"/>
  <c r="F17" i="1"/>
  <c r="F18" i="1"/>
  <c r="L18" i="1"/>
  <c r="L17" i="1"/>
  <c r="K21" i="1"/>
  <c r="K20" i="1"/>
  <c r="G20" i="1"/>
  <c r="G21" i="1"/>
  <c r="M17" i="1"/>
  <c r="M18" i="1"/>
  <c r="E17" i="1"/>
  <c r="E18" i="1"/>
  <c r="G17" i="1"/>
  <c r="G18" i="1"/>
  <c r="J21" i="1"/>
  <c r="J20" i="1"/>
  <c r="E21" i="1"/>
  <c r="E20" i="1"/>
  <c r="L21" i="1"/>
  <c r="L20" i="1"/>
  <c r="H21" i="1"/>
  <c r="H20" i="1"/>
  <c r="J18" i="1"/>
  <c r="J17" i="1"/>
  <c r="M21" i="1"/>
  <c r="M20" i="1"/>
  <c r="I18" i="1"/>
  <c r="I17" i="1"/>
  <c r="H18" i="1"/>
  <c r="H17" i="1"/>
  <c r="I20" i="1"/>
  <c r="I21" i="1"/>
  <c r="M24" i="2"/>
  <c r="I23" i="2"/>
  <c r="E23" i="2"/>
  <c r="J23" i="2"/>
  <c r="J24" i="2"/>
  <c r="E66" i="2"/>
  <c r="E67" i="2"/>
  <c r="L23" i="2"/>
  <c r="L24" i="2"/>
</calcChain>
</file>

<file path=xl/sharedStrings.xml><?xml version="1.0" encoding="utf-8"?>
<sst xmlns="http://schemas.openxmlformats.org/spreadsheetml/2006/main" count="685" uniqueCount="198">
  <si>
    <t>kg</t>
  </si>
  <si>
    <t>Gross Weight</t>
  </si>
  <si>
    <t>Unit Weight</t>
  </si>
  <si>
    <t>1890x505x250</t>
  </si>
  <si>
    <t>1490x505x250</t>
  </si>
  <si>
    <t>1390x505x250</t>
  </si>
  <si>
    <t>1190x505x250</t>
  </si>
  <si>
    <t>1090x505x250</t>
  </si>
  <si>
    <t>990x505x250</t>
  </si>
  <si>
    <t>890x505x250</t>
  </si>
  <si>
    <t>690x505x250</t>
  </si>
  <si>
    <t>mm</t>
  </si>
  <si>
    <t>Packing Dimension W/D/H</t>
  </si>
  <si>
    <t>1880x493x240</t>
  </si>
  <si>
    <t>1480x493x240</t>
  </si>
  <si>
    <t>1380x493x240</t>
  </si>
  <si>
    <t>1180x493x240</t>
  </si>
  <si>
    <t>1080x493x240</t>
  </si>
  <si>
    <t>980x493x240</t>
  </si>
  <si>
    <t>880x493x240</t>
  </si>
  <si>
    <t>680x493x240</t>
  </si>
  <si>
    <t>Unit Dimension W/D/H</t>
  </si>
  <si>
    <t>Inlet/Outlet Water Pipe Size</t>
  </si>
  <si>
    <t>Copper - Aluminum</t>
  </si>
  <si>
    <t>Motor Type</t>
  </si>
  <si>
    <t>Fan Type</t>
  </si>
  <si>
    <t>E</t>
  </si>
  <si>
    <t>Mpa</t>
  </si>
  <si>
    <t>Max. Working Pressure</t>
  </si>
  <si>
    <t>kPa</t>
  </si>
  <si>
    <t>l/h</t>
  </si>
  <si>
    <t>50Pa</t>
  </si>
  <si>
    <t>30Pa</t>
  </si>
  <si>
    <t>12Pa</t>
  </si>
  <si>
    <t>dB(A)</t>
  </si>
  <si>
    <t>A</t>
  </si>
  <si>
    <t>W</t>
  </si>
  <si>
    <t>220~230V / 1Ph / 50 or 60Hz</t>
  </si>
  <si>
    <t>kW</t>
  </si>
  <si>
    <r>
      <t>m</t>
    </r>
    <r>
      <rPr>
        <vertAlign val="superscript"/>
        <sz val="12"/>
        <rFont val="Open Sans"/>
        <family val="2"/>
      </rPr>
      <t>3</t>
    </r>
    <r>
      <rPr>
        <sz val="12"/>
        <rFont val="Open Sans"/>
        <family val="2"/>
      </rPr>
      <t>/h</t>
    </r>
  </si>
  <si>
    <t>Model</t>
  </si>
  <si>
    <t>dT</t>
  </si>
  <si>
    <t>Cooling / Heating</t>
  </si>
  <si>
    <t>1890*505*250</t>
  </si>
  <si>
    <t>1490*505*250</t>
  </si>
  <si>
    <t>1390*505*250</t>
  </si>
  <si>
    <t>1190*505*250</t>
  </si>
  <si>
    <t>1090*505*250</t>
  </si>
  <si>
    <t>990*505*250</t>
  </si>
  <si>
    <t>890*505*250</t>
  </si>
  <si>
    <t>690*505*250</t>
  </si>
  <si>
    <t>1880*493*240</t>
  </si>
  <si>
    <t>1480*493*240</t>
  </si>
  <si>
    <t>1380*493*240</t>
  </si>
  <si>
    <t>1180*493*240</t>
  </si>
  <si>
    <t>1080*493*240</t>
  </si>
  <si>
    <t>980*493*240</t>
  </si>
  <si>
    <t>880*493*240</t>
  </si>
  <si>
    <t>680*493*240</t>
  </si>
  <si>
    <t>Heat exchanger material</t>
  </si>
  <si>
    <t>1/2" Female</t>
  </si>
  <si>
    <t>Cross - flow</t>
  </si>
  <si>
    <t>m3/h</t>
  </si>
  <si>
    <t xml:space="preserve">Inlet water temp., °C </t>
  </si>
  <si>
    <t xml:space="preserve">Outlet water temp., °C </t>
  </si>
  <si>
    <t xml:space="preserve">Room temp., °C </t>
  </si>
  <si>
    <t xml:space="preserve">∆T, °C </t>
  </si>
  <si>
    <t xml:space="preserve">Trench heaters FH4-H
</t>
  </si>
  <si>
    <t>Technical data</t>
  </si>
  <si>
    <t xml:space="preserve">Desired output, W </t>
  </si>
  <si>
    <t xml:space="preserve">Error + </t>
  </si>
  <si>
    <t xml:space="preserve">Error - </t>
  </si>
  <si>
    <t>FH4-H 80</t>
  </si>
  <si>
    <t>FH4-H 123</t>
  </si>
  <si>
    <t>FH4-H 166</t>
  </si>
  <si>
    <t>FH4-H 209</t>
  </si>
  <si>
    <t>FH4-H 252</t>
  </si>
  <si>
    <t>FH4-H 296</t>
  </si>
  <si>
    <t>Air flow</t>
  </si>
  <si>
    <t>Heating Capacity
at 45/35/20°C</t>
  </si>
  <si>
    <t>Fan
speed</t>
  </si>
  <si>
    <t>Power supply</t>
  </si>
  <si>
    <t>Max power (incl. actuator)</t>
  </si>
  <si>
    <t>Max current (incl. actuator)</t>
  </si>
  <si>
    <t>Sound pressure level</t>
  </si>
  <si>
    <t>-</t>
  </si>
  <si>
    <t>Max water flow</t>
  </si>
  <si>
    <t>Max pressure loss</t>
  </si>
  <si>
    <t>Brushless EC motor</t>
  </si>
  <si>
    <t>Body Material</t>
  </si>
  <si>
    <t>Stainless steel</t>
  </si>
  <si>
    <t>DF23-34-B-AC
DF23-34-E-AC</t>
  </si>
  <si>
    <t>DF23-51-B-AC
DF23-51-E-AC</t>
  </si>
  <si>
    <t>DF23-68-B-AC
DF23-68-E-AC</t>
  </si>
  <si>
    <t>DF23-85-B-AC
DF23-85-E-AC</t>
  </si>
  <si>
    <t>DF23-102-B-AC
DF23-102-E-AC</t>
  </si>
  <si>
    <t>DF23-136-B-AC
DF23-136-E-AC</t>
  </si>
  <si>
    <t>DF23-170-B-AC
DF23-170-E-AC</t>
  </si>
  <si>
    <t>DF23-204-B-AC
DF23-204-E-AC</t>
  </si>
  <si>
    <t>DF23-238-B-AC
DF23-238-E-AC</t>
  </si>
  <si>
    <t>DF23-34-B-EC
DF23-34-E-EC</t>
  </si>
  <si>
    <t>DF23-51-B-EC
DF23-51-E-EC</t>
  </si>
  <si>
    <t>DF23-68-B-EC
DF23-68-E-EC</t>
  </si>
  <si>
    <t>DF23-85-B-EC
DF23-85-E-EC</t>
  </si>
  <si>
    <t>DF23-102-B-EC
DF23-102-E-EC</t>
  </si>
  <si>
    <t>DF23-136-B-EC
DF23-136-E-EC</t>
  </si>
  <si>
    <t>DF23-170-B-EC
DF23-170-E-EC</t>
  </si>
  <si>
    <t>DF23-204-B-EC
DF23-204-E-EC</t>
  </si>
  <si>
    <t>DF23-238-B-EC
DF23-238-E-EC</t>
  </si>
  <si>
    <t>DF431-34-B-AC
DF431-34-E-AC</t>
  </si>
  <si>
    <t>DF431-51-B-AC
DF431-51-E-AC</t>
  </si>
  <si>
    <t>DF431-68-B-AC
DF431-68-E-AC</t>
  </si>
  <si>
    <t>DF431-85-B-AC
DF431-85-E-AC</t>
  </si>
  <si>
    <t>DF431-102-B-AC
DF431-102-E-AC</t>
  </si>
  <si>
    <t>DF431-136-B-AC
DF431-136-E-AC</t>
  </si>
  <si>
    <t>DF431-170-B-AC
DF431-170-E-AC</t>
  </si>
  <si>
    <t>DF431-204-B-AC
DF431-204-E-AC</t>
  </si>
  <si>
    <t>DF431-238-B-AC
DF431-238-E-AC</t>
  </si>
  <si>
    <t>DF422-34-B-AC
DF422-34-E-AC</t>
  </si>
  <si>
    <t>DF422-51-B-AC
DF422-51-E-AC</t>
  </si>
  <si>
    <t>DF422-68-B-AC
DF422-68-E-AC</t>
  </si>
  <si>
    <t>DF422-85-B-AC
DF422-85-E-AC</t>
  </si>
  <si>
    <t>DF422-102-B-AC
DF422-102-E-AC</t>
  </si>
  <si>
    <t>DF422-136-B-AC
DF422-136-E-AC</t>
  </si>
  <si>
    <t>DF422-170-B-AC
DF422-170-E-AC</t>
  </si>
  <si>
    <t>DF422-204-B-AC
DF422-204-E-AC</t>
  </si>
  <si>
    <t>DF422-238-B-AC
DF422-238-E-AC</t>
  </si>
  <si>
    <t>DF431-34-B-EC
DF431-34-E-EC</t>
  </si>
  <si>
    <t>DF431-51-B-EC
DF431-51-E-EC</t>
  </si>
  <si>
    <t>DF431-68-B-EC
DF431-68-E-EC</t>
  </si>
  <si>
    <t>DF431-85-B-EC
DF431-85-E-EC</t>
  </si>
  <si>
    <t>DF431-102-B-EC
DF431-102-E-EC</t>
  </si>
  <si>
    <t>DF431-136-B-EC
DF431-136-E-EC</t>
  </si>
  <si>
    <t>DF431-170-B-EC
DF431-170-E-EC</t>
  </si>
  <si>
    <t>DF431-204-B-EC
DF431-204-E-EC</t>
  </si>
  <si>
    <t>DF431-238-B-EC
DF431-238-E-EC</t>
  </si>
  <si>
    <t>DF422-34-B-EC
DF422-34-E-EC</t>
  </si>
  <si>
    <t>DF422-51-B-EC
DF422-51-E-EC</t>
  </si>
  <si>
    <t>DF422-68-B-EC
DF422-68-E-EC</t>
  </si>
  <si>
    <t>DF422-85-B-EC
DF422-85-E-EC</t>
  </si>
  <si>
    <t>DF422-102-B-EC
DF422-102-E-EC</t>
  </si>
  <si>
    <t>DF422-136-B-EC
DF422-136-E-EC</t>
  </si>
  <si>
    <t>DF422-170-B-EC
DF422-170-E-EC</t>
  </si>
  <si>
    <t>DF422-204-B-EC
DF422-204-E-EC</t>
  </si>
  <si>
    <t>DF422-238-B-EC
DF422-238-E-EC</t>
  </si>
  <si>
    <t>Kanaliniai fankoilai DF2</t>
  </si>
  <si>
    <t>Techniniai duomenys</t>
  </si>
  <si>
    <t>AC varikliai</t>
  </si>
  <si>
    <t>2 - vamzdžiai</t>
  </si>
  <si>
    <t>Įtekančio vandens t., °C</t>
  </si>
  <si>
    <t>Ištekančio vandens t., °C</t>
  </si>
  <si>
    <t>Patalpos t., °C</t>
  </si>
  <si>
    <t>Pageidaujama galia, W</t>
  </si>
  <si>
    <t>Nuokrypis +</t>
  </si>
  <si>
    <t>Nuokrypis −</t>
  </si>
  <si>
    <t>Modelis</t>
  </si>
  <si>
    <t>Maks.</t>
  </si>
  <si>
    <t>Vid.</t>
  </si>
  <si>
    <t>Min.</t>
  </si>
  <si>
    <t>Oro srautas</t>
  </si>
  <si>
    <t>Bendra vėsinimo galia</t>
  </si>
  <si>
    <t>Juntama vėsinimo galia</t>
  </si>
  <si>
    <t>Šildymo galia</t>
  </si>
  <si>
    <t>Maitinimo įtampa</t>
  </si>
  <si>
    <t>Maks. el. galia</t>
  </si>
  <si>
    <t>Maks. el. srovė</t>
  </si>
  <si>
    <t>Maks. garso lygis</t>
  </si>
  <si>
    <t>Maks. vandens srautas</t>
  </si>
  <si>
    <t>Maks. slėgio nuostoliai</t>
  </si>
  <si>
    <t>Vėsinimas</t>
  </si>
  <si>
    <t>Šildymas</t>
  </si>
  <si>
    <t>Maks. darbinis slėgis</t>
  </si>
  <si>
    <t>Izoliacijos klasė</t>
  </si>
  <si>
    <t>Ventiliatoriaus tipas</t>
  </si>
  <si>
    <t>Variklio tipas</t>
  </si>
  <si>
    <t>Šilumokaičio tipas</t>
  </si>
  <si>
    <t>Šilumokaičio medžiaga</t>
  </si>
  <si>
    <t>Vamzdžių jungtys</t>
  </si>
  <si>
    <t>Kondensato vamzdžio jungtys</t>
  </si>
  <si>
    <t>Įrenginio matmenys (I/P/A)</t>
  </si>
  <si>
    <t>Pakuotės matmenys (I/P/A)</t>
  </si>
  <si>
    <t>Svoris bruto</t>
  </si>
  <si>
    <t>Svoris neto</t>
  </si>
  <si>
    <t>Išcentrinis</t>
  </si>
  <si>
    <t>Asinchroninis 4 greičių AC variklis</t>
  </si>
  <si>
    <t>2-jų vamzdžių / 3 eilių</t>
  </si>
  <si>
    <t>Varis - aliuminis</t>
  </si>
  <si>
    <t>3/4" vidinis sriegis</t>
  </si>
  <si>
    <t>3/4" išorinis sriegis</t>
  </si>
  <si>
    <t>Kanaliniai fankoilai DF4</t>
  </si>
  <si>
    <t>4 - vamzdžiai / 3+1 eilės</t>
  </si>
  <si>
    <t>4 - vamzdžiai / 2+2 eilės</t>
  </si>
  <si>
    <t>4-ių vamzdžių / 3+1 eilių</t>
  </si>
  <si>
    <t>4-ių vamzdžių / 2+2 eilių</t>
  </si>
  <si>
    <t>EC varikliai</t>
  </si>
  <si>
    <t>EC variklis su 0–10 V valdymu</t>
  </si>
  <si>
    <t>220~230V / 1Ph / 50 arba  60Hz</t>
  </si>
  <si>
    <t>220~230V / 1Ph / 50 arba 60Hz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</si>
</sst>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
    <numFmt numFmtId="166" formatCode="#,##0.0"/>
    <numFmt numFmtId="167" formatCode="0\ %"/>
  </numFmts>
  <fonts count="22" x14ac:knownFonts="1">
    <font>
      <sz val="10"/>
      <color rgb="FF000000"/>
      <name val="Times New Roman"/>
      <family val="1"/>
    </font>
    <font>
      <sz val="10"/>
      <color rgb="FF000000"/>
      <name val="Times New Roman"/>
      <family val="1"/>
    </font>
    <font>
      <sz val="12"/>
      <color rgb="FF000000"/>
      <name val="Open Sans"/>
      <family val="2"/>
    </font>
    <font>
      <sz val="12"/>
      <name val="Open Sans"/>
      <family val="2"/>
    </font>
    <font>
      <sz val="11"/>
      <name val="Open Sans"/>
      <family val="2"/>
    </font>
    <font>
      <b/>
      <sz val="12"/>
      <name val="Open Sans"/>
      <family val="2"/>
    </font>
    <font>
      <vertAlign val="superscript"/>
      <sz val="12"/>
      <name val="Open Sans"/>
      <family val="2"/>
    </font>
    <font>
      <b/>
      <sz val="12"/>
      <color rgb="FF000000"/>
      <name val="Open Sans"/>
      <family val="2"/>
    </font>
    <font>
      <b/>
      <sz val="14"/>
      <name val="Open Sans"/>
      <family val="2"/>
    </font>
    <font>
      <sz val="14"/>
      <color rgb="FF000000"/>
      <name val="Open Sans"/>
      <family val="2"/>
    </font>
    <font>
      <b/>
      <sz val="20"/>
      <name val="Open Sans"/>
      <family val="2"/>
    </font>
    <font>
      <sz val="14"/>
      <name val="Open Sans"/>
      <family val="2"/>
    </font>
    <font>
      <sz val="10"/>
      <name val="Open Sans"/>
      <family val="2"/>
    </font>
    <font>
      <sz val="11"/>
      <color theme="1"/>
      <name val="Calibri"/>
      <family val="2"/>
      <scheme val="minor"/>
    </font>
    <font>
      <sz val="10"/>
      <name val="Arial"/>
      <family val="2"/>
      <charset val="186"/>
    </font>
    <font>
      <sz val="12"/>
      <color theme="1"/>
      <name val="Calibri"/>
      <family val="2"/>
      <charset val="186"/>
    </font>
    <font>
      <b/>
      <sz val="18"/>
      <name val="Open Sans"/>
      <family val="2"/>
    </font>
    <font>
      <sz val="10"/>
      <color indexed="8"/>
      <name val="Calibri"/>
      <family val="2"/>
      <charset val="186"/>
    </font>
    <font>
      <sz val="12"/>
      <name val="Times New Roman"/>
      <family val="1"/>
      <charset val="186"/>
    </font>
    <font>
      <sz val="11"/>
      <color theme="1"/>
      <name val="Calibri"/>
      <family val="2"/>
      <charset val="186"/>
      <scheme val="minor"/>
    </font>
    <font>
      <sz val="10"/>
      <name val="Mangal"/>
      <family val="2"/>
      <charset val="186"/>
    </font>
    <font>
      <sz val="11"/>
      <color theme="1"/>
      <name val="Aptos Narrow"/>
      <family val="2"/>
      <charset val="186"/>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thin">
        <color auto="1"/>
      </right>
      <top style="medium">
        <color indexed="64"/>
      </top>
      <bottom/>
      <diagonal/>
    </border>
    <border>
      <left style="medium">
        <color indexed="64"/>
      </left>
      <right style="thin">
        <color auto="1"/>
      </right>
      <top style="medium">
        <color indexed="64"/>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style="thin">
        <color rgb="FF575959"/>
      </left>
      <right style="thin">
        <color rgb="FF575959"/>
      </right>
      <top style="thin">
        <color rgb="FF575959"/>
      </top>
      <bottom style="thin">
        <color rgb="FF575959"/>
      </bottom>
      <diagonal/>
    </border>
    <border>
      <left style="thin">
        <color rgb="FF575959"/>
      </left>
      <right/>
      <top style="thin">
        <color rgb="FF575959"/>
      </top>
      <bottom style="thin">
        <color rgb="FF575959"/>
      </bottom>
      <diagonal/>
    </border>
    <border>
      <left/>
      <right style="thin">
        <color auto="1"/>
      </right>
      <top/>
      <bottom style="thin">
        <color auto="1"/>
      </bottom>
      <diagonal/>
    </border>
    <border>
      <left/>
      <right/>
      <top/>
      <bottom style="thin">
        <color auto="1"/>
      </bottom>
      <diagonal/>
    </border>
    <border>
      <left/>
      <right/>
      <top style="thin">
        <color rgb="FF211F1F"/>
      </top>
      <bottom style="thin">
        <color rgb="FF211F1F"/>
      </bottom>
      <diagonal/>
    </border>
  </borders>
  <cellStyleXfs count="15">
    <xf numFmtId="0" fontId="0"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3" fillId="0" borderId="0">
      <alignment vertical="center"/>
    </xf>
    <xf numFmtId="0" fontId="14" fillId="0" borderId="0"/>
    <xf numFmtId="0" fontId="15" fillId="0" borderId="0"/>
    <xf numFmtId="9" fontId="17" fillId="0" borderId="0" applyFont="0" applyFill="0" applyBorder="0" applyAlignment="0" applyProtection="0"/>
    <xf numFmtId="0" fontId="18" fillId="0" borderId="0"/>
    <xf numFmtId="9" fontId="15" fillId="0" borderId="0" applyFont="0" applyFill="0" applyBorder="0" applyAlignment="0" applyProtection="0"/>
    <xf numFmtId="0" fontId="19" fillId="0" borderId="0"/>
    <xf numFmtId="167" fontId="20" fillId="0" borderId="0" applyFill="0" applyBorder="0" applyAlignment="0" applyProtection="0"/>
    <xf numFmtId="0" fontId="14" fillId="0" borderId="0"/>
    <xf numFmtId="0" fontId="21" fillId="0" borderId="0"/>
  </cellStyleXfs>
  <cellXfs count="218">
    <xf numFmtId="0" fontId="0" fillId="0" borderId="0" xfId="0"/>
    <xf numFmtId="9" fontId="3" fillId="0" borderId="0" xfId="2" applyFont="1" applyFill="1" applyBorder="1" applyAlignment="1" applyProtection="1">
      <alignment horizontal="center" vertical="center"/>
      <protection locked="0" hidden="1"/>
    </xf>
    <xf numFmtId="0" fontId="3" fillId="0" borderId="0" xfId="1" applyFont="1" applyAlignment="1" applyProtection="1">
      <alignment horizontal="left" vertical="center"/>
      <protection locked="0" hidden="1"/>
    </xf>
    <xf numFmtId="9" fontId="3" fillId="0" borderId="0" xfId="2" applyFont="1" applyFill="1" applyBorder="1" applyAlignment="1" applyProtection="1">
      <alignment horizontal="center" vertical="top"/>
      <protection locked="0" hidden="1"/>
    </xf>
    <xf numFmtId="3" fontId="5" fillId="0" borderId="1" xfId="1" applyNumberFormat="1" applyFont="1" applyBorder="1" applyAlignment="1" applyProtection="1">
      <alignment horizontal="center" vertical="center"/>
      <protection locked="0" hidden="1"/>
    </xf>
    <xf numFmtId="0" fontId="5" fillId="0" borderId="1" xfId="1" applyFont="1" applyBorder="1" applyAlignment="1" applyProtection="1">
      <alignment horizontal="center" vertical="center"/>
      <protection locked="0" hidden="1"/>
    </xf>
    <xf numFmtId="9" fontId="5" fillId="0" borderId="1" xfId="2" applyFont="1" applyFill="1" applyBorder="1" applyAlignment="1" applyProtection="1">
      <alignment horizontal="center" vertical="center"/>
      <protection locked="0" hidden="1"/>
    </xf>
    <xf numFmtId="0" fontId="5" fillId="0" borderId="0" xfId="6" applyFont="1" applyAlignment="1" applyProtection="1">
      <alignment horizontal="right" vertical="center"/>
      <protection hidden="1"/>
    </xf>
    <xf numFmtId="0" fontId="3" fillId="0" borderId="0" xfId="7" applyFont="1" applyProtection="1">
      <protection hidden="1"/>
    </xf>
    <xf numFmtId="0" fontId="5" fillId="0" borderId="0" xfId="6" applyFont="1" applyAlignment="1" applyProtection="1">
      <alignment horizontal="center" vertical="center"/>
      <protection hidden="1"/>
    </xf>
    <xf numFmtId="0" fontId="3" fillId="0" borderId="0" xfId="6" applyFont="1" applyAlignment="1" applyProtection="1">
      <alignment horizontal="center" vertical="center"/>
      <protection hidden="1"/>
    </xf>
    <xf numFmtId="0" fontId="3" fillId="0" borderId="0" xfId="6" applyFont="1" applyAlignment="1" applyProtection="1">
      <alignment vertical="center"/>
      <protection hidden="1"/>
    </xf>
    <xf numFmtId="0" fontId="5" fillId="0" borderId="0" xfId="6" applyFont="1" applyAlignment="1" applyProtection="1">
      <alignment horizontal="left" vertical="center"/>
      <protection hidden="1"/>
    </xf>
    <xf numFmtId="0" fontId="4" fillId="0" borderId="0" xfId="6" applyFont="1" applyAlignment="1" applyProtection="1">
      <alignment horizontal="right" vertical="center"/>
      <protection hidden="1"/>
    </xf>
    <xf numFmtId="0" fontId="5" fillId="0" borderId="1" xfId="6" applyFont="1" applyBorder="1" applyAlignment="1" applyProtection="1">
      <alignment horizontal="center" vertical="center"/>
      <protection locked="0" hidden="1"/>
    </xf>
    <xf numFmtId="0" fontId="5" fillId="0" borderId="0" xfId="6" applyFont="1" applyAlignment="1" applyProtection="1">
      <alignment horizontal="center" vertical="center" wrapText="1"/>
      <protection hidden="1"/>
    </xf>
    <xf numFmtId="0" fontId="3" fillId="0" borderId="0" xfId="6" applyFont="1" applyAlignment="1" applyProtection="1">
      <alignment vertical="top" wrapText="1"/>
      <protection hidden="1"/>
    </xf>
    <xf numFmtId="0" fontId="3" fillId="0" borderId="0" xfId="6" applyFont="1" applyAlignment="1" applyProtection="1">
      <alignment vertical="center" wrapText="1"/>
      <protection hidden="1"/>
    </xf>
    <xf numFmtId="0" fontId="4" fillId="0" borderId="0" xfId="6" applyFont="1" applyAlignment="1" applyProtection="1">
      <alignment vertical="center"/>
      <protection hidden="1"/>
    </xf>
    <xf numFmtId="2" fontId="3" fillId="0" borderId="0" xfId="6" applyNumberFormat="1" applyFont="1" applyAlignment="1" applyProtection="1">
      <alignment horizontal="center" vertical="center"/>
      <protection locked="0" hidden="1"/>
    </xf>
    <xf numFmtId="0" fontId="3" fillId="0" borderId="0" xfId="6" applyFont="1" applyAlignment="1" applyProtection="1">
      <alignment horizontal="center" vertical="top" wrapText="1"/>
      <protection hidden="1"/>
    </xf>
    <xf numFmtId="3" fontId="5" fillId="0" borderId="1" xfId="6" applyNumberFormat="1" applyFont="1" applyBorder="1" applyAlignment="1" applyProtection="1">
      <alignment horizontal="center" vertical="center"/>
      <protection locked="0" hidden="1"/>
    </xf>
    <xf numFmtId="9" fontId="3" fillId="0" borderId="1" xfId="8" applyFont="1" applyBorder="1" applyAlignment="1" applyProtection="1">
      <alignment horizontal="center" vertical="center"/>
      <protection locked="0" hidden="1"/>
    </xf>
    <xf numFmtId="0" fontId="5" fillId="0" borderId="0" xfId="6" applyFont="1" applyAlignment="1" applyProtection="1">
      <alignment vertical="center"/>
      <protection hidden="1"/>
    </xf>
    <xf numFmtId="0" fontId="5" fillId="0" borderId="28" xfId="6" applyFont="1" applyBorder="1" applyAlignment="1" applyProtection="1">
      <alignment horizontal="center" vertical="center"/>
      <protection hidden="1"/>
    </xf>
    <xf numFmtId="1" fontId="5" fillId="2" borderId="1" xfId="7" applyNumberFormat="1" applyFont="1" applyFill="1" applyBorder="1" applyAlignment="1">
      <alignment horizontal="center" vertical="top" shrinkToFit="1"/>
    </xf>
    <xf numFmtId="0" fontId="5" fillId="0" borderId="2" xfId="9" applyFont="1" applyBorder="1" applyAlignment="1" applyProtection="1">
      <alignment horizontal="center" vertical="center"/>
      <protection hidden="1"/>
    </xf>
    <xf numFmtId="165" fontId="5" fillId="0" borderId="1" xfId="9" applyNumberFormat="1" applyFont="1" applyBorder="1" applyAlignment="1" applyProtection="1">
      <alignment horizontal="center" vertical="center"/>
      <protection hidden="1"/>
    </xf>
    <xf numFmtId="9" fontId="3" fillId="0" borderId="1" xfId="10" applyFont="1" applyBorder="1" applyAlignment="1" applyProtection="1">
      <alignment horizontal="center" vertical="center"/>
      <protection hidden="1"/>
    </xf>
    <xf numFmtId="1" fontId="3" fillId="2" borderId="1" xfId="7" applyNumberFormat="1" applyFont="1" applyFill="1" applyBorder="1" applyAlignment="1">
      <alignment horizontal="center" vertical="top" shrinkToFit="1"/>
    </xf>
    <xf numFmtId="3" fontId="3" fillId="0" borderId="1" xfId="6" applyNumberFormat="1" applyFont="1" applyBorder="1" applyAlignment="1" applyProtection="1">
      <alignment horizontal="center" vertical="center"/>
      <protection hidden="1"/>
    </xf>
    <xf numFmtId="3" fontId="3" fillId="3" borderId="1" xfId="6" applyNumberFormat="1" applyFont="1" applyFill="1" applyBorder="1" applyAlignment="1" applyProtection="1">
      <alignment horizontal="center" vertical="center"/>
      <protection hidden="1"/>
    </xf>
    <xf numFmtId="3" fontId="3" fillId="0" borderId="0" xfId="6" applyNumberFormat="1" applyFont="1" applyAlignment="1" applyProtection="1">
      <alignment horizontal="center" vertical="center"/>
      <protection hidden="1"/>
    </xf>
    <xf numFmtId="3" fontId="3" fillId="2" borderId="1" xfId="7" applyNumberFormat="1" applyFont="1" applyFill="1" applyBorder="1" applyAlignment="1">
      <alignment horizontal="center" vertical="top" shrinkToFit="1"/>
    </xf>
    <xf numFmtId="9" fontId="3" fillId="0" borderId="0" xfId="10" applyFont="1" applyAlignment="1" applyProtection="1">
      <alignment horizontal="center" vertical="center"/>
      <protection hidden="1"/>
    </xf>
    <xf numFmtId="9" fontId="3" fillId="0" borderId="1" xfId="10" applyFont="1" applyBorder="1" applyAlignment="1" applyProtection="1">
      <alignment horizontal="left" vertical="center"/>
      <protection hidden="1"/>
    </xf>
    <xf numFmtId="9" fontId="3" fillId="0" borderId="1" xfId="10" applyFont="1" applyBorder="1" applyAlignment="1" applyProtection="1">
      <alignment horizontal="left" vertical="top" wrapText="1"/>
      <protection hidden="1"/>
    </xf>
    <xf numFmtId="9" fontId="3" fillId="0" borderId="1" xfId="10" applyFont="1" applyBorder="1" applyAlignment="1" applyProtection="1">
      <alignment horizontal="center" vertical="top"/>
      <protection hidden="1"/>
    </xf>
    <xf numFmtId="9" fontId="3" fillId="0" borderId="1" xfId="10" applyFont="1" applyBorder="1" applyAlignment="1" applyProtection="1">
      <alignment horizontal="center" vertical="center"/>
      <protection locked="0" hidden="1"/>
    </xf>
    <xf numFmtId="164" fontId="3" fillId="2" borderId="1" xfId="7" applyNumberFormat="1" applyFont="1" applyFill="1" applyBorder="1" applyAlignment="1">
      <alignment horizontal="center" vertical="top" shrinkToFit="1"/>
    </xf>
    <xf numFmtId="166" fontId="3" fillId="3" borderId="1" xfId="6" applyNumberFormat="1" applyFont="1" applyFill="1" applyBorder="1" applyAlignment="1" applyProtection="1">
      <alignment horizontal="center" vertical="center"/>
      <protection locked="0" hidden="1"/>
    </xf>
    <xf numFmtId="2" fontId="3" fillId="2" borderId="1" xfId="7" applyNumberFormat="1" applyFont="1" applyFill="1" applyBorder="1" applyAlignment="1">
      <alignment horizontal="center" vertical="top" shrinkToFit="1"/>
    </xf>
    <xf numFmtId="4" fontId="3" fillId="3" borderId="1" xfId="6" applyNumberFormat="1" applyFont="1" applyFill="1" applyBorder="1" applyAlignment="1" applyProtection="1">
      <alignment horizontal="center" vertical="center"/>
      <protection locked="0" hidden="1"/>
    </xf>
    <xf numFmtId="166" fontId="3" fillId="0" borderId="1" xfId="6" applyNumberFormat="1" applyFont="1" applyBorder="1" applyAlignment="1" applyProtection="1">
      <alignment horizontal="center" vertical="center"/>
      <protection hidden="1"/>
    </xf>
    <xf numFmtId="0" fontId="3" fillId="0" borderId="0" xfId="6" applyFont="1" applyAlignment="1" applyProtection="1">
      <alignment horizontal="center" vertical="center"/>
      <protection locked="0" hidden="1"/>
    </xf>
    <xf numFmtId="0" fontId="3" fillId="0" borderId="1" xfId="6" applyFont="1" applyBorder="1" applyAlignment="1" applyProtection="1">
      <alignment horizontal="left" vertical="center"/>
      <protection locked="0" hidden="1"/>
    </xf>
    <xf numFmtId="0" fontId="3" fillId="0" borderId="1" xfId="6" applyFont="1" applyBorder="1" applyAlignment="1" applyProtection="1">
      <alignment horizontal="center" vertical="center"/>
      <protection locked="0" hidden="1"/>
    </xf>
    <xf numFmtId="0" fontId="5" fillId="0" borderId="1" xfId="6" applyFont="1" applyBorder="1" applyAlignment="1" applyProtection="1">
      <alignment horizontal="left" vertical="top" wrapText="1"/>
      <protection hidden="1"/>
    </xf>
    <xf numFmtId="0" fontId="5" fillId="0" borderId="1" xfId="6" applyFont="1" applyBorder="1" applyAlignment="1" applyProtection="1">
      <alignment horizontal="center" vertical="top" wrapText="1"/>
      <protection hidden="1"/>
    </xf>
    <xf numFmtId="0" fontId="5" fillId="0" borderId="0" xfId="6" applyFont="1" applyAlignment="1" applyProtection="1">
      <alignment horizontal="left" vertical="top" wrapText="1"/>
      <protection hidden="1"/>
    </xf>
    <xf numFmtId="0" fontId="5" fillId="0" borderId="0" xfId="6" applyFont="1" applyAlignment="1" applyProtection="1">
      <alignment horizontal="center" vertical="top" wrapText="1"/>
      <protection hidden="1"/>
    </xf>
    <xf numFmtId="0" fontId="5" fillId="0" borderId="0" xfId="6" applyFont="1" applyAlignment="1" applyProtection="1">
      <alignment horizontal="left" vertical="center" wrapText="1"/>
      <protection hidden="1"/>
    </xf>
    <xf numFmtId="0" fontId="3" fillId="0" borderId="0" xfId="7" applyFont="1" applyAlignment="1" applyProtection="1">
      <alignment horizontal="center" vertical="center"/>
      <protection hidden="1"/>
    </xf>
    <xf numFmtId="2" fontId="3" fillId="0" borderId="0" xfId="7" applyNumberFormat="1" applyFont="1" applyAlignment="1" applyProtection="1">
      <alignment horizontal="center" vertical="center"/>
      <protection hidden="1"/>
    </xf>
    <xf numFmtId="1" fontId="3" fillId="0" borderId="0" xfId="6" applyNumberFormat="1" applyFont="1" applyAlignment="1" applyProtection="1">
      <alignment horizontal="center" vertical="center"/>
      <protection hidden="1"/>
    </xf>
    <xf numFmtId="0" fontId="3" fillId="0" borderId="0" xfId="7" applyFont="1" applyAlignment="1" applyProtection="1">
      <alignment horizontal="center"/>
      <protection hidden="1"/>
    </xf>
    <xf numFmtId="0" fontId="3" fillId="0" borderId="0" xfId="7" applyFont="1" applyAlignment="1" applyProtection="1">
      <alignment horizontal="right"/>
      <protection hidden="1"/>
    </xf>
    <xf numFmtId="0" fontId="3" fillId="0" borderId="0" xfId="7" applyFont="1" applyAlignment="1" applyProtection="1">
      <alignment horizontal="left"/>
      <protection hidden="1"/>
    </xf>
    <xf numFmtId="3" fontId="3" fillId="0" borderId="0" xfId="6" applyNumberFormat="1" applyFont="1" applyAlignment="1" applyProtection="1">
      <alignment horizontal="right" vertical="center"/>
      <protection hidden="1"/>
    </xf>
    <xf numFmtId="0" fontId="2" fillId="0" borderId="0" xfId="0" applyFont="1" applyAlignment="1" applyProtection="1">
      <alignment vertical="center"/>
      <protection locked="0" hidden="1"/>
    </xf>
    <xf numFmtId="0" fontId="3" fillId="0" borderId="0" xfId="1" applyFont="1" applyAlignment="1" applyProtection="1">
      <alignment horizontal="left" vertical="top"/>
      <protection locked="0" hidden="1"/>
    </xf>
    <xf numFmtId="0" fontId="3" fillId="0" borderId="0" xfId="1" applyFont="1" applyAlignment="1" applyProtection="1">
      <alignment horizontal="right" vertical="top"/>
      <protection locked="0" hidden="1"/>
    </xf>
    <xf numFmtId="0" fontId="2" fillId="0" borderId="0" xfId="0" applyFont="1" applyAlignment="1" applyProtection="1">
      <alignment horizontal="left" vertical="top"/>
      <protection locked="0" hidden="1"/>
    </xf>
    <xf numFmtId="0" fontId="2" fillId="0" borderId="0" xfId="0" applyFont="1" applyAlignment="1" applyProtection="1">
      <alignment horizontal="center" vertical="top"/>
      <protection locked="0" hidden="1"/>
    </xf>
    <xf numFmtId="0" fontId="2" fillId="0" borderId="0" xfId="0" applyFont="1" applyAlignment="1" applyProtection="1">
      <alignment horizontal="left" vertical="center"/>
      <protection locked="0" hidden="1"/>
    </xf>
    <xf numFmtId="0" fontId="3" fillId="0" borderId="1" xfId="1" applyFont="1" applyBorder="1" applyAlignment="1" applyProtection="1">
      <alignment horizontal="center" vertical="top"/>
      <protection locked="0" hidden="1"/>
    </xf>
    <xf numFmtId="0" fontId="3" fillId="0" borderId="0" xfId="1" applyFont="1" applyAlignment="1" applyProtection="1">
      <alignment vertical="center"/>
      <protection locked="0" hidden="1"/>
    </xf>
    <xf numFmtId="0" fontId="3" fillId="0" borderId="0" xfId="1" applyFont="1" applyAlignment="1" applyProtection="1">
      <alignment vertical="top"/>
      <protection locked="0" hidden="1"/>
    </xf>
    <xf numFmtId="0" fontId="3" fillId="0" borderId="0" xfId="1" applyFont="1" applyAlignment="1" applyProtection="1">
      <alignment horizontal="center" vertical="top"/>
      <protection locked="0" hidden="1"/>
    </xf>
    <xf numFmtId="0" fontId="10" fillId="0" borderId="0" xfId="1" applyFont="1" applyAlignment="1" applyProtection="1">
      <alignment vertical="center" wrapText="1"/>
      <protection locked="0" hidden="1"/>
    </xf>
    <xf numFmtId="0" fontId="7" fillId="0" borderId="0" xfId="0" applyFont="1" applyAlignment="1" applyProtection="1">
      <alignment horizontal="left" vertical="top"/>
      <protection locked="0" hidden="1"/>
    </xf>
    <xf numFmtId="0" fontId="5" fillId="0" borderId="0" xfId="1" applyFont="1" applyAlignment="1" applyProtection="1">
      <alignment horizontal="left" vertical="top"/>
      <protection locked="0" hidden="1"/>
    </xf>
    <xf numFmtId="2" fontId="3" fillId="0" borderId="0" xfId="2" applyNumberFormat="1" applyFont="1" applyFill="1" applyAlignment="1" applyProtection="1">
      <alignment horizontal="center" vertical="center" wrapText="1"/>
      <protection locked="0" hidden="1"/>
    </xf>
    <xf numFmtId="2" fontId="3" fillId="0" borderId="0" xfId="1" applyNumberFormat="1" applyFont="1" applyAlignment="1" applyProtection="1">
      <alignment horizontal="left" vertical="center"/>
      <protection locked="0" hidden="1"/>
    </xf>
    <xf numFmtId="9" fontId="3" fillId="0" borderId="0" xfId="2" applyFont="1" applyFill="1" applyAlignment="1" applyProtection="1">
      <alignment horizontal="center" vertical="center" wrapText="1"/>
      <protection locked="0" hidden="1"/>
    </xf>
    <xf numFmtId="9" fontId="3" fillId="0" borderId="0" xfId="2" applyFont="1" applyFill="1" applyAlignment="1" applyProtection="1">
      <alignment horizontal="center" vertical="top" wrapText="1"/>
      <protection locked="0" hidden="1"/>
    </xf>
    <xf numFmtId="0" fontId="7" fillId="0" borderId="0" xfId="0" applyFont="1" applyAlignment="1" applyProtection="1">
      <alignment horizontal="center" vertical="top"/>
      <protection locked="0" hidden="1"/>
    </xf>
    <xf numFmtId="2" fontId="3" fillId="0" borderId="0" xfId="2" applyNumberFormat="1" applyFont="1" applyFill="1" applyAlignment="1" applyProtection="1">
      <alignment horizontal="center" vertical="top" wrapText="1"/>
      <protection locked="0" hidden="1"/>
    </xf>
    <xf numFmtId="1" fontId="3" fillId="0" borderId="0" xfId="2" applyNumberFormat="1" applyFont="1" applyFill="1" applyAlignment="1" applyProtection="1">
      <alignment horizontal="right" vertical="top" wrapText="1"/>
      <protection locked="0" hidden="1"/>
    </xf>
    <xf numFmtId="2" fontId="3" fillId="0" borderId="0" xfId="1" applyNumberFormat="1" applyFont="1" applyAlignment="1" applyProtection="1">
      <alignment horizontal="right" vertical="top"/>
      <protection locked="0" hidden="1"/>
    </xf>
    <xf numFmtId="2" fontId="3" fillId="0" borderId="0" xfId="1" applyNumberFormat="1" applyFont="1" applyAlignment="1" applyProtection="1">
      <alignment horizontal="left" vertical="top"/>
      <protection locked="0" hidden="1"/>
    </xf>
    <xf numFmtId="2" fontId="5" fillId="0" borderId="0" xfId="1" applyNumberFormat="1" applyFont="1" applyAlignment="1" applyProtection="1">
      <alignment horizontal="right" vertical="top"/>
      <protection locked="0" hidden="1"/>
    </xf>
    <xf numFmtId="2" fontId="5" fillId="0" borderId="0" xfId="1" applyNumberFormat="1" applyFont="1" applyAlignment="1" applyProtection="1">
      <alignment horizontal="left" vertical="top"/>
      <protection locked="0" hidden="1"/>
    </xf>
    <xf numFmtId="2" fontId="3" fillId="0" borderId="0" xfId="2" applyNumberFormat="1" applyFont="1" applyFill="1" applyAlignment="1" applyProtection="1">
      <alignment horizontal="left" vertical="top"/>
      <protection locked="0" hidden="1"/>
    </xf>
    <xf numFmtId="2" fontId="3" fillId="0" borderId="0" xfId="2" applyNumberFormat="1" applyFont="1" applyFill="1" applyAlignment="1" applyProtection="1">
      <alignment horizontal="left" vertical="top" wrapText="1"/>
      <protection locked="0" hidden="1"/>
    </xf>
    <xf numFmtId="1" fontId="3" fillId="0" borderId="0" xfId="1" applyNumberFormat="1" applyFont="1" applyAlignment="1" applyProtection="1">
      <alignment horizontal="left" vertical="top"/>
      <protection locked="0" hidden="1"/>
    </xf>
    <xf numFmtId="1" fontId="3" fillId="0" borderId="0" xfId="1" applyNumberFormat="1" applyFont="1" applyAlignment="1" applyProtection="1">
      <alignment horizontal="right" vertical="top"/>
      <protection locked="0" hidden="1"/>
    </xf>
    <xf numFmtId="0" fontId="2" fillId="0" borderId="0" xfId="0" applyFont="1" applyAlignment="1" applyProtection="1">
      <alignment horizontal="center" vertical="center"/>
      <protection locked="0" hidden="1"/>
    </xf>
    <xf numFmtId="1" fontId="3" fillId="2" borderId="1" xfId="0" applyNumberFormat="1" applyFont="1" applyFill="1" applyBorder="1" applyAlignment="1" applyProtection="1">
      <alignment horizontal="center" vertical="center" shrinkToFit="1"/>
      <protection hidden="1"/>
    </xf>
    <xf numFmtId="0" fontId="2" fillId="0" borderId="0" xfId="0" applyFont="1" applyAlignment="1" applyProtection="1">
      <alignment horizontal="left" vertical="center"/>
      <protection hidden="1"/>
    </xf>
    <xf numFmtId="0" fontId="3" fillId="0" borderId="0" xfId="1" applyFont="1" applyAlignment="1" applyProtection="1">
      <alignment horizontal="left" vertical="center"/>
      <protection hidden="1"/>
    </xf>
    <xf numFmtId="0" fontId="3" fillId="0" borderId="0" xfId="1" applyFont="1" applyAlignment="1" applyProtection="1">
      <alignment horizontal="right" vertical="center"/>
      <protection hidden="1"/>
    </xf>
    <xf numFmtId="0" fontId="3" fillId="0" borderId="0" xfId="1" applyFont="1" applyAlignment="1" applyProtection="1">
      <alignment vertical="center"/>
      <protection hidden="1"/>
    </xf>
    <xf numFmtId="9" fontId="3" fillId="0" borderId="0" xfId="2" applyFont="1" applyFill="1" applyBorder="1" applyAlignment="1" applyProtection="1">
      <alignment horizontal="center" vertical="center"/>
      <protection hidden="1"/>
    </xf>
    <xf numFmtId="0" fontId="2" fillId="0" borderId="0" xfId="0" applyFont="1" applyAlignment="1" applyProtection="1">
      <alignment horizontal="left" vertical="top"/>
      <protection hidden="1"/>
    </xf>
    <xf numFmtId="0" fontId="2" fillId="0" borderId="0" xfId="0" applyFont="1" applyAlignment="1" applyProtection="1">
      <alignment horizontal="center" vertical="top"/>
      <protection hidden="1"/>
    </xf>
    <xf numFmtId="0" fontId="5" fillId="2" borderId="7" xfId="0" applyFont="1" applyFill="1" applyBorder="1" applyAlignment="1" applyProtection="1">
      <alignment horizontal="center" vertical="top" wrapText="1"/>
      <protection hidden="1"/>
    </xf>
    <xf numFmtId="0" fontId="5" fillId="0" borderId="7" xfId="0" applyFont="1" applyBorder="1" applyAlignment="1" applyProtection="1">
      <alignment horizontal="center" vertical="top" wrapText="1"/>
      <protection hidden="1"/>
    </xf>
    <xf numFmtId="0" fontId="3" fillId="0" borderId="7" xfId="0" applyFont="1" applyBorder="1" applyAlignment="1" applyProtection="1">
      <alignment horizontal="center" vertical="top" wrapText="1"/>
      <protection hidden="1"/>
    </xf>
    <xf numFmtId="0" fontId="3" fillId="0" borderId="1" xfId="0" applyFont="1" applyBorder="1" applyAlignment="1" applyProtection="1">
      <alignment horizontal="center" vertical="top" wrapText="1"/>
      <protection hidden="1"/>
    </xf>
    <xf numFmtId="1" fontId="3" fillId="0" borderId="1" xfId="0" applyNumberFormat="1" applyFont="1" applyBorder="1" applyAlignment="1" applyProtection="1">
      <alignment horizontal="center" vertical="center" shrinkToFit="1"/>
      <protection hidden="1"/>
    </xf>
    <xf numFmtId="1" fontId="3" fillId="2" borderId="7" xfId="0" applyNumberFormat="1" applyFont="1" applyFill="1" applyBorder="1" applyAlignment="1" applyProtection="1">
      <alignment horizontal="center" vertical="center" shrinkToFit="1"/>
      <protection hidden="1"/>
    </xf>
    <xf numFmtId="1" fontId="3" fillId="0" borderId="7" xfId="0" applyNumberFormat="1" applyFont="1" applyBorder="1" applyAlignment="1" applyProtection="1">
      <alignment horizontal="center" vertical="center" shrinkToFit="1"/>
      <protection hidden="1"/>
    </xf>
    <xf numFmtId="0" fontId="3" fillId="0" borderId="16" xfId="0" applyFont="1" applyBorder="1" applyAlignment="1" applyProtection="1">
      <alignment horizontal="center" vertical="top" wrapText="1"/>
      <protection hidden="1"/>
    </xf>
    <xf numFmtId="3" fontId="3" fillId="2" borderId="16" xfId="0" applyNumberFormat="1" applyFont="1" applyFill="1" applyBorder="1" applyAlignment="1" applyProtection="1">
      <alignment horizontal="center" vertical="center" shrinkToFit="1"/>
      <protection hidden="1"/>
    </xf>
    <xf numFmtId="3" fontId="3" fillId="0" borderId="16" xfId="0" applyNumberFormat="1" applyFont="1" applyBorder="1" applyAlignment="1" applyProtection="1">
      <alignment horizontal="center" vertical="center" shrinkToFit="1"/>
      <protection hidden="1"/>
    </xf>
    <xf numFmtId="3" fontId="3" fillId="2" borderId="15" xfId="0" applyNumberFormat="1" applyFont="1" applyFill="1" applyBorder="1" applyAlignment="1" applyProtection="1">
      <alignment horizontal="center" vertical="center" shrinkToFit="1"/>
      <protection hidden="1"/>
    </xf>
    <xf numFmtId="3" fontId="3" fillId="2" borderId="1" xfId="0" applyNumberFormat="1" applyFont="1" applyFill="1" applyBorder="1" applyAlignment="1" applyProtection="1">
      <alignment horizontal="center" vertical="center" shrinkToFit="1"/>
      <protection hidden="1"/>
    </xf>
    <xf numFmtId="3" fontId="3" fillId="0" borderId="1" xfId="0" applyNumberFormat="1" applyFont="1" applyBorder="1" applyAlignment="1" applyProtection="1">
      <alignment horizontal="center" vertical="center" shrinkToFit="1"/>
      <protection hidden="1"/>
    </xf>
    <xf numFmtId="3" fontId="3" fillId="2" borderId="13" xfId="0" applyNumberFormat="1" applyFont="1" applyFill="1" applyBorder="1" applyAlignment="1" applyProtection="1">
      <alignment horizontal="center" vertical="center" shrinkToFit="1"/>
      <protection hidden="1"/>
    </xf>
    <xf numFmtId="0" fontId="3" fillId="0" borderId="10" xfId="0" applyFont="1" applyBorder="1" applyAlignment="1" applyProtection="1">
      <alignment horizontal="center" vertical="top" wrapText="1"/>
      <protection hidden="1"/>
    </xf>
    <xf numFmtId="3" fontId="3" fillId="2" borderId="10" xfId="0" applyNumberFormat="1" applyFont="1" applyFill="1" applyBorder="1" applyAlignment="1" applyProtection="1">
      <alignment horizontal="center" vertical="center" shrinkToFit="1"/>
      <protection hidden="1"/>
    </xf>
    <xf numFmtId="3" fontId="3" fillId="0" borderId="10" xfId="0" applyNumberFormat="1" applyFont="1" applyBorder="1" applyAlignment="1" applyProtection="1">
      <alignment horizontal="center" vertical="center" shrinkToFit="1"/>
      <protection hidden="1"/>
    </xf>
    <xf numFmtId="3" fontId="3" fillId="2" borderId="9" xfId="0" applyNumberFormat="1" applyFont="1" applyFill="1" applyBorder="1" applyAlignment="1" applyProtection="1">
      <alignment horizontal="center" vertical="center" shrinkToFit="1"/>
      <protection hidden="1"/>
    </xf>
    <xf numFmtId="0" fontId="3" fillId="0" borderId="8" xfId="0" applyFont="1" applyBorder="1" applyAlignment="1" applyProtection="1">
      <alignment vertical="top" wrapText="1"/>
      <protection hidden="1"/>
    </xf>
    <xf numFmtId="0" fontId="3" fillId="0" borderId="5" xfId="0" applyFont="1" applyBorder="1" applyAlignment="1" applyProtection="1">
      <alignment horizontal="center" vertical="top" wrapText="1"/>
      <protection hidden="1"/>
    </xf>
    <xf numFmtId="2" fontId="3" fillId="2" borderId="1" xfId="0" applyNumberFormat="1" applyFont="1" applyFill="1" applyBorder="1" applyAlignment="1" applyProtection="1">
      <alignment horizontal="center" vertical="center" shrinkToFit="1"/>
      <protection hidden="1"/>
    </xf>
    <xf numFmtId="2" fontId="3" fillId="0" borderId="1" xfId="0" applyNumberFormat="1" applyFont="1" applyBorder="1" applyAlignment="1" applyProtection="1">
      <alignment horizontal="center" vertical="center" shrinkToFit="1"/>
      <protection hidden="1"/>
    </xf>
    <xf numFmtId="0" fontId="3" fillId="0" borderId="2" xfId="0" applyFont="1" applyBorder="1" applyAlignment="1" applyProtection="1">
      <alignment horizontal="left" vertical="top" wrapText="1"/>
      <protection hidden="1"/>
    </xf>
    <xf numFmtId="0" fontId="2" fillId="0" borderId="1" xfId="0" applyFont="1" applyBorder="1" applyAlignment="1" applyProtection="1">
      <alignment horizontal="center" vertical="top"/>
      <protection hidden="1"/>
    </xf>
    <xf numFmtId="1" fontId="3" fillId="2" borderId="25" xfId="0" applyNumberFormat="1" applyFont="1" applyFill="1" applyBorder="1" applyAlignment="1" applyProtection="1">
      <alignment horizontal="center" vertical="center" shrinkToFit="1"/>
      <protection hidden="1"/>
    </xf>
    <xf numFmtId="1" fontId="3" fillId="0" borderId="26" xfId="0" applyNumberFormat="1" applyFont="1" applyBorder="1" applyAlignment="1" applyProtection="1">
      <alignment horizontal="center" vertical="center" shrinkToFit="1"/>
      <protection hidden="1"/>
    </xf>
    <xf numFmtId="1" fontId="3" fillId="0" borderId="25" xfId="0" applyNumberFormat="1" applyFont="1" applyBorder="1" applyAlignment="1" applyProtection="1">
      <alignment horizontal="center" vertical="center" shrinkToFit="1"/>
      <protection hidden="1"/>
    </xf>
    <xf numFmtId="0" fontId="3" fillId="0" borderId="29" xfId="0" applyFont="1" applyBorder="1" applyAlignment="1" applyProtection="1">
      <alignment horizontal="center" vertical="center" wrapText="1"/>
      <protection hidden="1"/>
    </xf>
    <xf numFmtId="164" fontId="3" fillId="2" borderId="25" xfId="0" applyNumberFormat="1" applyFont="1" applyFill="1" applyBorder="1" applyAlignment="1" applyProtection="1">
      <alignment horizontal="center" vertical="center" shrinkToFit="1"/>
      <protection hidden="1"/>
    </xf>
    <xf numFmtId="164" fontId="3" fillId="0" borderId="26" xfId="0" applyNumberFormat="1" applyFont="1" applyBorder="1" applyAlignment="1" applyProtection="1">
      <alignment horizontal="center" vertical="center" shrinkToFit="1"/>
      <protection hidden="1"/>
    </xf>
    <xf numFmtId="164" fontId="3" fillId="0" borderId="25" xfId="0" applyNumberFormat="1" applyFont="1" applyBorder="1" applyAlignment="1" applyProtection="1">
      <alignment horizontal="center" vertical="center" shrinkToFit="1"/>
      <protection hidden="1"/>
    </xf>
    <xf numFmtId="0" fontId="3" fillId="0" borderId="2" xfId="0" applyFont="1" applyBorder="1" applyAlignment="1" applyProtection="1">
      <alignment vertical="top" wrapText="1"/>
      <protection hidden="1"/>
    </xf>
    <xf numFmtId="0" fontId="3" fillId="0" borderId="1" xfId="0" applyFont="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164" fontId="3" fillId="2" borderId="1" xfId="0" applyNumberFormat="1" applyFont="1" applyFill="1" applyBorder="1" applyAlignment="1" applyProtection="1">
      <alignment horizontal="center" vertical="center" shrinkToFit="1"/>
      <protection hidden="1"/>
    </xf>
    <xf numFmtId="164" fontId="3" fillId="0" borderId="1" xfId="0" applyNumberFormat="1" applyFont="1" applyBorder="1" applyAlignment="1" applyProtection="1">
      <alignment horizontal="center" vertical="center" shrinkToFit="1"/>
      <protection hidden="1"/>
    </xf>
    <xf numFmtId="0" fontId="8" fillId="0" borderId="0" xfId="0" applyFont="1" applyAlignment="1" applyProtection="1">
      <alignment vertical="top"/>
      <protection hidden="1"/>
    </xf>
    <xf numFmtId="0" fontId="8" fillId="0" borderId="0" xfId="0" applyFont="1" applyAlignment="1" applyProtection="1">
      <alignment vertical="center"/>
      <protection hidden="1"/>
    </xf>
    <xf numFmtId="0" fontId="2" fillId="0" borderId="5" xfId="0" applyFont="1" applyBorder="1" applyAlignment="1" applyProtection="1">
      <alignment horizontal="center" vertical="top"/>
      <protection hidden="1"/>
    </xf>
    <xf numFmtId="0" fontId="3" fillId="0" borderId="2" xfId="0" applyFont="1" applyBorder="1" applyAlignment="1" applyProtection="1">
      <alignment vertical="center" wrapText="1"/>
      <protection hidden="1"/>
    </xf>
    <xf numFmtId="0" fontId="2" fillId="0" borderId="1" xfId="0" applyFont="1" applyBorder="1" applyAlignment="1" applyProtection="1">
      <alignment horizontal="center" vertical="center"/>
      <protection hidden="1"/>
    </xf>
    <xf numFmtId="0" fontId="3" fillId="0" borderId="2" xfId="0" applyFont="1" applyBorder="1" applyAlignment="1" applyProtection="1">
      <alignment horizontal="left" vertical="center" wrapText="1"/>
      <protection hidden="1"/>
    </xf>
    <xf numFmtId="0" fontId="2" fillId="0" borderId="0" xfId="0" applyFont="1" applyAlignment="1" applyProtection="1">
      <alignment vertical="top"/>
      <protection hidden="1"/>
    </xf>
    <xf numFmtId="0" fontId="2" fillId="0" borderId="0" xfId="0" applyFont="1" applyAlignment="1" applyProtection="1">
      <alignment vertical="center"/>
      <protection hidden="1"/>
    </xf>
    <xf numFmtId="0" fontId="10" fillId="0" borderId="0" xfId="0" applyFont="1" applyAlignment="1" applyProtection="1">
      <alignment vertical="top"/>
      <protection hidden="1"/>
    </xf>
    <xf numFmtId="0" fontId="10" fillId="0" borderId="0" xfId="0" applyFont="1" applyAlignment="1" applyProtection="1">
      <alignment vertical="center"/>
      <protection hidden="1"/>
    </xf>
    <xf numFmtId="0" fontId="9" fillId="0" borderId="0" xfId="0" applyFont="1" applyAlignment="1" applyProtection="1">
      <alignment vertical="top"/>
      <protection hidden="1"/>
    </xf>
    <xf numFmtId="0" fontId="9" fillId="0" borderId="0" xfId="0" applyFont="1" applyAlignment="1" applyProtection="1">
      <alignment vertical="center"/>
      <protection hidden="1"/>
    </xf>
    <xf numFmtId="0" fontId="10" fillId="0" borderId="0" xfId="0" applyFont="1" applyAlignment="1" applyProtection="1">
      <alignment horizontal="center" vertical="center"/>
      <protection hidden="1"/>
    </xf>
    <xf numFmtId="0" fontId="11" fillId="0" borderId="0" xfId="0" applyFont="1" applyAlignment="1" applyProtection="1">
      <alignment vertical="top"/>
      <protection hidden="1"/>
    </xf>
    <xf numFmtId="0" fontId="11" fillId="0" borderId="0" xfId="0" applyFont="1" applyAlignment="1" applyProtection="1">
      <alignment vertical="center"/>
      <protection hidden="1"/>
    </xf>
    <xf numFmtId="9" fontId="3" fillId="0" borderId="0" xfId="2" applyFont="1" applyAlignment="1" applyProtection="1">
      <alignment horizontal="center" vertical="top" wrapText="1"/>
      <protection hidden="1"/>
    </xf>
    <xf numFmtId="0" fontId="3" fillId="0" borderId="0" xfId="1" applyFont="1" applyAlignment="1" applyProtection="1">
      <alignment horizontal="right" vertical="top"/>
      <protection hidden="1"/>
    </xf>
    <xf numFmtId="0" fontId="3" fillId="0" borderId="0" xfId="1" applyFont="1" applyAlignment="1" applyProtection="1">
      <alignment horizontal="left" vertical="top"/>
      <protection hidden="1"/>
    </xf>
    <xf numFmtId="0" fontId="7" fillId="0" borderId="0" xfId="0" applyFont="1" applyAlignment="1" applyProtection="1">
      <alignment horizontal="center" vertical="top"/>
      <protection hidden="1"/>
    </xf>
    <xf numFmtId="0" fontId="3" fillId="0" borderId="0" xfId="1" applyFont="1" applyAlignment="1" applyProtection="1">
      <alignment vertical="top"/>
      <protection hidden="1"/>
    </xf>
    <xf numFmtId="2" fontId="3" fillId="0" borderId="0" xfId="1" applyNumberFormat="1" applyFont="1" applyAlignment="1" applyProtection="1">
      <alignment horizontal="right" vertical="top"/>
      <protection hidden="1"/>
    </xf>
    <xf numFmtId="0" fontId="7" fillId="0" borderId="0" xfId="0" applyFont="1" applyAlignment="1" applyProtection="1">
      <alignment horizontal="left" vertical="top"/>
      <protection hidden="1"/>
    </xf>
    <xf numFmtId="1" fontId="3" fillId="2" borderId="10" xfId="0" applyNumberFormat="1" applyFont="1" applyFill="1" applyBorder="1" applyAlignment="1" applyProtection="1">
      <alignment horizontal="center" vertical="center" shrinkToFit="1"/>
      <protection hidden="1"/>
    </xf>
    <xf numFmtId="1" fontId="3" fillId="0" borderId="10" xfId="0" applyNumberFormat="1" applyFont="1" applyBorder="1" applyAlignment="1" applyProtection="1">
      <alignment horizontal="center" vertical="center" shrinkToFit="1"/>
      <protection hidden="1"/>
    </xf>
    <xf numFmtId="0" fontId="12" fillId="2" borderId="1" xfId="0" applyFont="1" applyFill="1" applyBorder="1" applyAlignment="1" applyProtection="1">
      <alignment horizontal="center" vertical="center" wrapText="1"/>
      <protection hidden="1"/>
    </xf>
    <xf numFmtId="0" fontId="12"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vertical="center" wrapText="1"/>
      <protection hidden="1"/>
    </xf>
    <xf numFmtId="0" fontId="3" fillId="0" borderId="4" xfId="0" applyFont="1" applyBorder="1" applyAlignment="1" applyProtection="1">
      <alignment vertical="center" wrapText="1"/>
      <protection hidden="1"/>
    </xf>
    <xf numFmtId="0" fontId="3" fillId="0" borderId="3" xfId="0" applyFont="1" applyBorder="1" applyAlignment="1" applyProtection="1">
      <alignment vertical="center" wrapText="1"/>
      <protection hidden="1"/>
    </xf>
    <xf numFmtId="0" fontId="3" fillId="0" borderId="1"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3" fillId="0" borderId="1" xfId="0" applyFont="1" applyBorder="1" applyAlignment="1" applyProtection="1">
      <alignment horizontal="left" vertical="top" wrapText="1"/>
      <protection hidden="1"/>
    </xf>
    <xf numFmtId="0" fontId="3" fillId="0" borderId="2" xfId="0" applyFont="1" applyBorder="1" applyAlignment="1" applyProtection="1">
      <alignment horizontal="left" vertical="top" wrapText="1"/>
      <protection hidden="1"/>
    </xf>
    <xf numFmtId="0" fontId="3" fillId="0" borderId="7" xfId="0" applyFont="1" applyBorder="1" applyAlignment="1" applyProtection="1">
      <alignment horizontal="center" vertical="top" wrapText="1"/>
      <protection hidden="1"/>
    </xf>
    <xf numFmtId="0" fontId="3" fillId="0" borderId="6" xfId="0" applyFont="1" applyBorder="1" applyAlignment="1" applyProtection="1">
      <alignment horizontal="center" vertical="top" wrapText="1"/>
      <protection hidden="1"/>
    </xf>
    <xf numFmtId="0" fontId="3" fillId="0" borderId="5" xfId="0" applyFont="1" applyBorder="1" applyAlignment="1" applyProtection="1">
      <alignment horizontal="center" vertical="top" wrapText="1"/>
      <protection hidden="1"/>
    </xf>
    <xf numFmtId="0" fontId="3" fillId="0" borderId="7" xfId="0" applyFont="1" applyBorder="1" applyAlignment="1" applyProtection="1">
      <alignment horizontal="left" vertical="top" wrapText="1"/>
      <protection hidden="1"/>
    </xf>
    <xf numFmtId="0" fontId="3" fillId="0" borderId="5" xfId="0" applyFont="1" applyBorder="1" applyAlignment="1" applyProtection="1">
      <alignment horizontal="left" vertical="top" wrapText="1"/>
      <protection hidden="1"/>
    </xf>
    <xf numFmtId="0" fontId="5" fillId="0" borderId="2" xfId="0" applyFont="1" applyBorder="1" applyAlignment="1" applyProtection="1">
      <alignment horizontal="center" vertical="center" wrapText="1"/>
      <protection hidden="1"/>
    </xf>
    <xf numFmtId="0" fontId="5" fillId="0" borderId="4"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3" fillId="0" borderId="6" xfId="0" applyFont="1" applyBorder="1" applyAlignment="1" applyProtection="1">
      <alignment horizontal="left" vertical="top" wrapText="1"/>
      <protection hidden="1"/>
    </xf>
    <xf numFmtId="0" fontId="3" fillId="0" borderId="18" xfId="0" applyFont="1" applyBorder="1" applyAlignment="1" applyProtection="1">
      <alignment horizontal="left" vertical="top" wrapText="1"/>
      <protection hidden="1"/>
    </xf>
    <xf numFmtId="0" fontId="3" fillId="0" borderId="14" xfId="0" applyFont="1" applyBorder="1" applyAlignment="1" applyProtection="1">
      <alignment horizontal="left" vertical="top" wrapText="1"/>
      <protection hidden="1"/>
    </xf>
    <xf numFmtId="0" fontId="3" fillId="0" borderId="12" xfId="0" applyFont="1" applyBorder="1" applyAlignment="1" applyProtection="1">
      <alignment horizontal="left" vertical="top" wrapText="1"/>
      <protection hidden="1"/>
    </xf>
    <xf numFmtId="0" fontId="3" fillId="0" borderId="17" xfId="0" applyFont="1" applyBorder="1" applyAlignment="1" applyProtection="1">
      <alignment horizontal="center" vertical="top" wrapText="1"/>
      <protection hidden="1"/>
    </xf>
    <xf numFmtId="0" fontId="3" fillId="0" borderId="11" xfId="0" applyFont="1" applyBorder="1" applyAlignment="1" applyProtection="1">
      <alignment horizontal="center" vertical="top" wrapText="1"/>
      <protection hidden="1"/>
    </xf>
    <xf numFmtId="0" fontId="5" fillId="0" borderId="21" xfId="0" applyFont="1" applyBorder="1" applyAlignment="1" applyProtection="1">
      <alignment horizontal="center" vertical="top" wrapText="1"/>
      <protection hidden="1"/>
    </xf>
    <xf numFmtId="0" fontId="5" fillId="0" borderId="20" xfId="0" applyFont="1" applyBorder="1" applyAlignment="1" applyProtection="1">
      <alignment horizontal="center" vertical="top" wrapText="1"/>
      <protection hidden="1"/>
    </xf>
    <xf numFmtId="0" fontId="5" fillId="0" borderId="19" xfId="0" applyFont="1" applyBorder="1" applyAlignment="1" applyProtection="1">
      <alignment horizontal="center" vertical="top" wrapText="1"/>
      <protection hidden="1"/>
    </xf>
    <xf numFmtId="0" fontId="3" fillId="0" borderId="2" xfId="0" applyFont="1" applyBorder="1" applyAlignment="1" applyProtection="1">
      <alignment vertical="top" wrapText="1"/>
      <protection hidden="1"/>
    </xf>
    <xf numFmtId="0" fontId="3" fillId="0" borderId="4" xfId="0" applyFont="1" applyBorder="1" applyAlignment="1" applyProtection="1">
      <alignment vertical="top" wrapText="1"/>
      <protection hidden="1"/>
    </xf>
    <xf numFmtId="0" fontId="3" fillId="0" borderId="3" xfId="0" applyFont="1" applyBorder="1" applyAlignment="1" applyProtection="1">
      <alignment vertical="top" wrapText="1"/>
      <protection hidden="1"/>
    </xf>
    <xf numFmtId="0" fontId="7" fillId="0" borderId="24" xfId="0" applyFont="1" applyBorder="1" applyAlignment="1" applyProtection="1">
      <alignment horizontal="center" vertical="center"/>
      <protection hidden="1"/>
    </xf>
    <xf numFmtId="0" fontId="7" fillId="0" borderId="22" xfId="0" applyFont="1" applyBorder="1" applyAlignment="1" applyProtection="1">
      <alignment horizontal="center" vertical="center"/>
      <protection hidden="1"/>
    </xf>
    <xf numFmtId="0" fontId="3" fillId="0" borderId="8" xfId="0" applyFont="1" applyBorder="1" applyAlignment="1" applyProtection="1">
      <alignment vertical="top" wrapText="1"/>
      <protection hidden="1"/>
    </xf>
    <xf numFmtId="0" fontId="3" fillId="0" borderId="28" xfId="0" applyFont="1" applyBorder="1" applyAlignment="1" applyProtection="1">
      <alignment vertical="top" wrapText="1"/>
      <protection hidden="1"/>
    </xf>
    <xf numFmtId="0" fontId="3" fillId="0" borderId="27" xfId="0" applyFont="1" applyBorder="1" applyAlignment="1" applyProtection="1">
      <alignment vertical="top" wrapText="1"/>
      <protection hidden="1"/>
    </xf>
    <xf numFmtId="0" fontId="5" fillId="0" borderId="2" xfId="0" applyFont="1" applyBorder="1" applyAlignment="1" applyProtection="1">
      <alignment horizontal="center" vertical="top" wrapText="1"/>
      <protection hidden="1"/>
    </xf>
    <xf numFmtId="0" fontId="5" fillId="0" borderId="4" xfId="0" applyFont="1" applyBorder="1" applyAlignment="1" applyProtection="1">
      <alignment horizontal="center" vertical="top" wrapText="1"/>
      <protection hidden="1"/>
    </xf>
    <xf numFmtId="0" fontId="5" fillId="0" borderId="3" xfId="0" applyFont="1" applyBorder="1" applyAlignment="1" applyProtection="1">
      <alignment horizontal="center" vertical="top" wrapText="1"/>
      <protection hidden="1"/>
    </xf>
    <xf numFmtId="0" fontId="10" fillId="0" borderId="0" xfId="0" applyFont="1" applyAlignment="1" applyProtection="1">
      <alignment horizontal="center" vertical="center"/>
      <protection hidden="1"/>
    </xf>
    <xf numFmtId="0" fontId="9" fillId="0" borderId="0" xfId="0" applyFont="1" applyAlignment="1" applyProtection="1">
      <alignment horizontal="center" vertical="center"/>
      <protection hidden="1"/>
    </xf>
    <xf numFmtId="0" fontId="3" fillId="0" borderId="1" xfId="6" applyFont="1" applyBorder="1" applyAlignment="1" applyProtection="1">
      <alignment horizontal="left" vertical="center"/>
      <protection locked="0" hidden="1"/>
    </xf>
    <xf numFmtId="0" fontId="3" fillId="0" borderId="1" xfId="6" applyFont="1" applyBorder="1" applyAlignment="1" applyProtection="1">
      <alignment horizontal="center" vertical="top" wrapText="1"/>
      <protection hidden="1"/>
    </xf>
    <xf numFmtId="0" fontId="16" fillId="0" borderId="0" xfId="6" applyFont="1" applyAlignment="1" applyProtection="1">
      <alignment horizontal="center" vertical="top" wrapText="1"/>
      <protection hidden="1"/>
    </xf>
    <xf numFmtId="0" fontId="3" fillId="0" borderId="0" xfId="6" applyFont="1" applyAlignment="1" applyProtection="1">
      <alignment horizontal="center" vertical="top" wrapText="1"/>
      <protection hidden="1"/>
    </xf>
    <xf numFmtId="0" fontId="5" fillId="0" borderId="1" xfId="6" applyFont="1" applyBorder="1" applyAlignment="1" applyProtection="1">
      <alignment horizontal="center" vertical="center"/>
      <protection hidden="1"/>
    </xf>
    <xf numFmtId="0" fontId="3" fillId="0" borderId="1" xfId="7" applyFont="1" applyBorder="1" applyAlignment="1">
      <alignment horizontal="left" vertical="top" wrapText="1"/>
    </xf>
    <xf numFmtId="0" fontId="3" fillId="0" borderId="1" xfId="7" applyFont="1" applyBorder="1" applyAlignment="1">
      <alignment horizontal="center" vertical="top" wrapText="1"/>
    </xf>
    <xf numFmtId="9" fontId="3" fillId="0" borderId="1" xfId="10" applyFont="1" applyBorder="1" applyAlignment="1" applyProtection="1">
      <alignment horizontal="left" vertical="center"/>
      <protection hidden="1"/>
    </xf>
    <xf numFmtId="0" fontId="3" fillId="0" borderId="1" xfId="6" applyFont="1" applyBorder="1" applyAlignment="1" applyProtection="1">
      <alignment horizontal="center" vertical="center" wrapText="1"/>
      <protection hidden="1"/>
    </xf>
    <xf numFmtId="9" fontId="3" fillId="0" borderId="1" xfId="10" applyFont="1" applyBorder="1" applyAlignment="1" applyProtection="1">
      <alignment horizontal="left" vertical="top" wrapText="1"/>
      <protection hidden="1"/>
    </xf>
    <xf numFmtId="9" fontId="3" fillId="0" borderId="1" xfId="10" applyFont="1" applyBorder="1" applyAlignment="1" applyProtection="1">
      <alignment horizontal="center" vertical="top"/>
      <protection hidden="1"/>
    </xf>
    <xf numFmtId="9" fontId="3" fillId="0" borderId="2" xfId="10" applyFont="1" applyBorder="1" applyAlignment="1" applyProtection="1">
      <alignment horizontal="left" vertical="center"/>
      <protection hidden="1"/>
    </xf>
    <xf numFmtId="9" fontId="3" fillId="0" borderId="3" xfId="10" applyFont="1" applyBorder="1" applyAlignment="1" applyProtection="1">
      <alignment horizontal="left" vertical="center"/>
      <protection hidden="1"/>
    </xf>
    <xf numFmtId="0" fontId="3" fillId="0" borderId="2" xfId="6" applyFont="1" applyBorder="1" applyAlignment="1" applyProtection="1">
      <alignment horizontal="center" vertical="top" wrapText="1"/>
      <protection hidden="1"/>
    </xf>
    <xf numFmtId="0" fontId="3" fillId="0" borderId="4" xfId="6" applyFont="1" applyBorder="1" applyAlignment="1" applyProtection="1">
      <alignment horizontal="center" vertical="top" wrapText="1"/>
      <protection hidden="1"/>
    </xf>
    <xf numFmtId="0" fontId="3" fillId="0" borderId="3" xfId="6" applyFont="1" applyBorder="1" applyAlignment="1" applyProtection="1">
      <alignment horizontal="center" vertical="top" wrapText="1"/>
      <protection hidden="1"/>
    </xf>
    <xf numFmtId="0" fontId="3" fillId="0" borderId="10" xfId="0" applyFont="1" applyBorder="1" applyAlignment="1" applyProtection="1">
      <alignment horizontal="left" vertical="top" wrapText="1"/>
      <protection hidden="1"/>
    </xf>
    <xf numFmtId="0" fontId="7" fillId="0" borderId="23" xfId="0" applyFont="1" applyBorder="1" applyAlignment="1" applyProtection="1">
      <alignment horizontal="center" vertical="center"/>
      <protection hidden="1"/>
    </xf>
    <xf numFmtId="0" fontId="3" fillId="0" borderId="21" xfId="0" applyFont="1" applyBorder="1" applyAlignment="1" applyProtection="1">
      <alignment horizontal="center" vertical="top" wrapText="1"/>
      <protection hidden="1"/>
    </xf>
    <xf numFmtId="0" fontId="3" fillId="0" borderId="20" xfId="0" applyFont="1" applyBorder="1" applyAlignment="1" applyProtection="1">
      <alignment horizontal="center" vertical="top" wrapText="1"/>
      <protection hidden="1"/>
    </xf>
    <xf numFmtId="0" fontId="3" fillId="0" borderId="19" xfId="0" applyFont="1" applyBorder="1" applyAlignment="1" applyProtection="1">
      <alignment horizontal="center" vertical="top" wrapText="1"/>
      <protection hidden="1"/>
    </xf>
  </cellXfs>
  <cellStyles count="15">
    <cellStyle name="Įprastas 2" xfId="1" xr:uid="{68DB2A7C-FBC3-403B-93A6-62D5A7B796E7}"/>
    <cellStyle name="Normal" xfId="0" builtinId="0"/>
    <cellStyle name="Normal 2" xfId="3" xr:uid="{B011A7AE-0942-4077-AEBE-5475F82D6E16}"/>
    <cellStyle name="Normal 2 2" xfId="5" xr:uid="{87D1736A-FE5F-47C5-B1F3-F941F3424679}"/>
    <cellStyle name="Normal 2 2 2" xfId="13" xr:uid="{77C88CB7-F572-4B12-9FB2-7B2976CAB74F}"/>
    <cellStyle name="Normal 2 3" xfId="6" xr:uid="{CB408CCA-EA19-4737-97EE-D00DB2239912}"/>
    <cellStyle name="Normal 3" xfId="7" xr:uid="{8E9B9D69-5438-4C15-9AB1-ED8C006F0C91}"/>
    <cellStyle name="Normal 4" xfId="11" xr:uid="{07CCB714-F43C-455E-8BFD-75951CA747BB}"/>
    <cellStyle name="Normal 5" xfId="14" xr:uid="{9CAF81A1-B356-43A9-9ED0-B0413890CE9F}"/>
    <cellStyle name="Normal_EN442" xfId="9" xr:uid="{BF8D4424-2DEB-40AE-8B6E-64239E22783C}"/>
    <cellStyle name="Percent 2" xfId="4" xr:uid="{272F19F4-2C4B-4BEC-9C43-EB32C72CB94E}"/>
    <cellStyle name="Percent 3" xfId="10" xr:uid="{EB635AE7-EE04-49D1-A55F-82B856343EA6}"/>
    <cellStyle name="Percent 4" xfId="8" xr:uid="{BE393FB9-8E03-4A49-90FC-EF175067ADD1}"/>
    <cellStyle name="Percent 4 2" xfId="12" xr:uid="{C05A0D9E-1DF6-4866-A2F2-92A3698F6FC6}"/>
    <cellStyle name="Procentai 2" xfId="2" xr:uid="{9D2271AE-3732-4FE8-906C-C377EB281707}"/>
  </cellStyles>
  <dxfs count="12">
    <dxf>
      <font>
        <b/>
        <i val="0"/>
        <color theme="0"/>
      </font>
      <fill>
        <patternFill>
          <bgColor rgb="FF4D93D9"/>
        </patternFill>
      </fill>
    </dxf>
    <dxf>
      <font>
        <b/>
        <i val="0"/>
        <strike val="0"/>
        <color theme="0"/>
      </font>
      <fill>
        <patternFill>
          <bgColor rgb="FFFF6969"/>
        </patternFill>
      </fill>
    </dxf>
    <dxf>
      <font>
        <b/>
        <i val="0"/>
        <color theme="0"/>
      </font>
      <fill>
        <patternFill>
          <bgColor rgb="FF4D93D9"/>
        </patternFill>
      </fill>
    </dxf>
    <dxf>
      <font>
        <b/>
        <i val="0"/>
        <strike val="0"/>
        <color theme="0"/>
      </font>
      <fill>
        <patternFill>
          <bgColor rgb="FFFF6969"/>
        </patternFill>
      </fill>
    </dxf>
    <dxf>
      <font>
        <b/>
        <i val="0"/>
        <color theme="0"/>
      </font>
      <fill>
        <patternFill>
          <bgColor rgb="FF4D93D9"/>
        </patternFill>
      </fill>
    </dxf>
    <dxf>
      <font>
        <b/>
        <i val="0"/>
        <strike val="0"/>
        <color theme="0"/>
      </font>
      <fill>
        <patternFill>
          <bgColor rgb="FFFF6969"/>
        </patternFill>
      </fill>
    </dxf>
    <dxf>
      <font>
        <b/>
        <i val="0"/>
        <color theme="0"/>
      </font>
      <fill>
        <patternFill>
          <bgColor rgb="FF4D93D9"/>
        </patternFill>
      </fill>
    </dxf>
    <dxf>
      <font>
        <b/>
        <i val="0"/>
        <strike val="0"/>
        <color theme="0"/>
      </font>
      <fill>
        <patternFill>
          <bgColor rgb="FFFF6969"/>
        </patternFill>
      </fill>
    </dxf>
    <dxf>
      <font>
        <b/>
        <i val="0"/>
        <color theme="0"/>
      </font>
      <fill>
        <patternFill>
          <bgColor rgb="FF4D93D9"/>
        </patternFill>
      </fill>
    </dxf>
    <dxf>
      <font>
        <b/>
        <i val="0"/>
        <strike val="0"/>
        <color theme="0"/>
      </font>
      <fill>
        <patternFill>
          <bgColor rgb="FFFF6969"/>
        </patternFill>
      </fill>
    </dxf>
    <dxf>
      <font>
        <b/>
        <i val="0"/>
        <color theme="0"/>
      </font>
      <fill>
        <patternFill>
          <bgColor rgb="FF4D93D9"/>
        </patternFill>
      </fill>
    </dxf>
    <dxf>
      <font>
        <b/>
        <i val="0"/>
        <strike val="0"/>
        <color theme="0"/>
      </font>
      <fill>
        <patternFill>
          <bgColor rgb="FFFF69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55058</xdr:colOff>
      <xdr:row>18</xdr:row>
      <xdr:rowOff>17365</xdr:rowOff>
    </xdr:from>
    <xdr:to>
      <xdr:col>1</xdr:col>
      <xdr:colOff>1131704</xdr:colOff>
      <xdr:row>19</xdr:row>
      <xdr:rowOff>219881</xdr:rowOff>
    </xdr:to>
    <xdr:pic>
      <xdr:nvPicPr>
        <xdr:cNvPr id="2" name="Picture 1" descr="G:\Desktop\EN 16430.jpg">
          <a:extLst>
            <a:ext uri="{FF2B5EF4-FFF2-40B4-BE49-F238E27FC236}">
              <a16:creationId xmlns:a16="http://schemas.microsoft.com/office/drawing/2014/main" id="{3CFB9F85-B166-4C28-8771-1F69909D00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698" y="4109305"/>
          <a:ext cx="1076646" cy="423496"/>
        </a:xfrm>
        <a:prstGeom prst="rect">
          <a:avLst/>
        </a:prstGeom>
        <a:noFill/>
        <a:ln>
          <a:noFill/>
        </a:ln>
      </xdr:spPr>
    </xdr:pic>
    <xdr:clientData/>
  </xdr:twoCellAnchor>
  <xdr:twoCellAnchor editAs="oneCell">
    <xdr:from>
      <xdr:col>1</xdr:col>
      <xdr:colOff>10473</xdr:colOff>
      <xdr:row>3</xdr:row>
      <xdr:rowOff>188289</xdr:rowOff>
    </xdr:from>
    <xdr:to>
      <xdr:col>3</xdr:col>
      <xdr:colOff>8253</xdr:colOff>
      <xdr:row>9</xdr:row>
      <xdr:rowOff>137709</xdr:rowOff>
    </xdr:to>
    <xdr:pic>
      <xdr:nvPicPr>
        <xdr:cNvPr id="3" name="Picture 2">
          <a:extLst>
            <a:ext uri="{FF2B5EF4-FFF2-40B4-BE49-F238E27FC236}">
              <a16:creationId xmlns:a16="http://schemas.microsoft.com/office/drawing/2014/main" id="{351A9A30-5157-4A0F-9850-A67C6475A0DD}"/>
            </a:ext>
          </a:extLst>
        </xdr:cNvPr>
        <xdr:cNvPicPr>
          <a:picLocks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836" t="7352" r="4991" b="11909"/>
        <a:stretch/>
      </xdr:blipFill>
      <xdr:spPr bwMode="auto">
        <a:xfrm>
          <a:off x="559113" y="851229"/>
          <a:ext cx="2520000" cy="138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8964</xdr:colOff>
      <xdr:row>1</xdr:row>
      <xdr:rowOff>43264</xdr:rowOff>
    </xdr:from>
    <xdr:to>
      <xdr:col>6</xdr:col>
      <xdr:colOff>332314</xdr:colOff>
      <xdr:row>2</xdr:row>
      <xdr:rowOff>169588</xdr:rowOff>
    </xdr:to>
    <xdr:pic>
      <xdr:nvPicPr>
        <xdr:cNvPr id="4" name="Picture 3">
          <a:extLst>
            <a:ext uri="{FF2B5EF4-FFF2-40B4-BE49-F238E27FC236}">
              <a16:creationId xmlns:a16="http://schemas.microsoft.com/office/drawing/2014/main" id="{A820FC29-A1DE-467A-A15F-1753B9B8D7A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79824" y="264244"/>
          <a:ext cx="2556010" cy="347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35345</xdr:colOff>
      <xdr:row>1</xdr:row>
      <xdr:rowOff>23133</xdr:rowOff>
    </xdr:from>
    <xdr:ext cx="2718438" cy="1800000"/>
    <xdr:pic>
      <xdr:nvPicPr>
        <xdr:cNvPr id="2" name="Picture 1">
          <a:extLst>
            <a:ext uri="{FF2B5EF4-FFF2-40B4-BE49-F238E27FC236}">
              <a16:creationId xmlns:a16="http://schemas.microsoft.com/office/drawing/2014/main" id="{BBF30925-FD6D-4052-AFEA-40A2CCB15F94}"/>
            </a:ext>
          </a:extLst>
        </xdr:cNvPr>
        <xdr:cNvPicPr>
          <a:picLocks/>
        </xdr:cNvPicPr>
      </xdr:nvPicPr>
      <xdr:blipFill>
        <a:blip xmlns:r="http://schemas.openxmlformats.org/officeDocument/2006/relationships" r:embed="rId1"/>
        <a:stretch>
          <a:fillRect/>
        </a:stretch>
      </xdr:blipFill>
      <xdr:spPr>
        <a:xfrm>
          <a:off x="644945" y="190773"/>
          <a:ext cx="2718438" cy="1800000"/>
        </a:xfrm>
        <a:prstGeom prst="rect">
          <a:avLst/>
        </a:prstGeom>
      </xdr:spPr>
    </xdr:pic>
    <xdr:clientData/>
  </xdr:oneCellAnchor>
  <xdr:oneCellAnchor>
    <xdr:from>
      <xdr:col>5</xdr:col>
      <xdr:colOff>589955</xdr:colOff>
      <xdr:row>1</xdr:row>
      <xdr:rowOff>119903</xdr:rowOff>
    </xdr:from>
    <xdr:ext cx="3240000" cy="439492"/>
    <xdr:pic>
      <xdr:nvPicPr>
        <xdr:cNvPr id="3" name="Picture 2">
          <a:extLst>
            <a:ext uri="{FF2B5EF4-FFF2-40B4-BE49-F238E27FC236}">
              <a16:creationId xmlns:a16="http://schemas.microsoft.com/office/drawing/2014/main" id="{905B2C26-D9D1-4363-9EF8-6E27C05AB3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37955" y="287543"/>
          <a:ext cx="3240000" cy="4394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36393</xdr:colOff>
      <xdr:row>1</xdr:row>
      <xdr:rowOff>28959</xdr:rowOff>
    </xdr:from>
    <xdr:ext cx="2718000" cy="1800000"/>
    <xdr:pic>
      <xdr:nvPicPr>
        <xdr:cNvPr id="2" name="Picture 1">
          <a:extLst>
            <a:ext uri="{FF2B5EF4-FFF2-40B4-BE49-F238E27FC236}">
              <a16:creationId xmlns:a16="http://schemas.microsoft.com/office/drawing/2014/main" id="{7095A1DD-2FB8-46D0-AB92-BF88EFB565E8}"/>
            </a:ext>
          </a:extLst>
        </xdr:cNvPr>
        <xdr:cNvPicPr>
          <a:picLocks/>
        </xdr:cNvPicPr>
      </xdr:nvPicPr>
      <xdr:blipFill>
        <a:blip xmlns:r="http://schemas.openxmlformats.org/officeDocument/2006/relationships" r:embed="rId1"/>
        <a:stretch>
          <a:fillRect/>
        </a:stretch>
      </xdr:blipFill>
      <xdr:spPr>
        <a:xfrm>
          <a:off x="645993" y="196599"/>
          <a:ext cx="2718000" cy="1800000"/>
        </a:xfrm>
        <a:prstGeom prst="rect">
          <a:avLst/>
        </a:prstGeom>
      </xdr:spPr>
    </xdr:pic>
    <xdr:clientData/>
  </xdr:oneCellAnchor>
  <xdr:oneCellAnchor>
    <xdr:from>
      <xdr:col>6</xdr:col>
      <xdr:colOff>586793</xdr:colOff>
      <xdr:row>1</xdr:row>
      <xdr:rowOff>122370</xdr:rowOff>
    </xdr:from>
    <xdr:ext cx="3240000" cy="439200"/>
    <xdr:pic>
      <xdr:nvPicPr>
        <xdr:cNvPr id="3" name="Picture 2">
          <a:extLst>
            <a:ext uri="{FF2B5EF4-FFF2-40B4-BE49-F238E27FC236}">
              <a16:creationId xmlns:a16="http://schemas.microsoft.com/office/drawing/2014/main" id="{ECD99C9C-F397-401B-AD3F-46EE646AD66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55579" y="340084"/>
          <a:ext cx="3240000" cy="439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35345</xdr:colOff>
      <xdr:row>1</xdr:row>
      <xdr:rowOff>23133</xdr:rowOff>
    </xdr:from>
    <xdr:ext cx="2715052" cy="1800000"/>
    <xdr:pic>
      <xdr:nvPicPr>
        <xdr:cNvPr id="2" name="Picture 1">
          <a:extLst>
            <a:ext uri="{FF2B5EF4-FFF2-40B4-BE49-F238E27FC236}">
              <a16:creationId xmlns:a16="http://schemas.microsoft.com/office/drawing/2014/main" id="{B0CBBE43-E7E2-4C7F-B06D-BD82D87690CD}"/>
            </a:ext>
          </a:extLst>
        </xdr:cNvPr>
        <xdr:cNvPicPr>
          <a:picLocks/>
        </xdr:cNvPicPr>
      </xdr:nvPicPr>
      <xdr:blipFill>
        <a:blip xmlns:r="http://schemas.openxmlformats.org/officeDocument/2006/relationships" r:embed="rId1"/>
        <a:stretch>
          <a:fillRect/>
        </a:stretch>
      </xdr:blipFill>
      <xdr:spPr>
        <a:xfrm>
          <a:off x="644945" y="190773"/>
          <a:ext cx="2715052" cy="1800000"/>
        </a:xfrm>
        <a:prstGeom prst="rect">
          <a:avLst/>
        </a:prstGeom>
      </xdr:spPr>
    </xdr:pic>
    <xdr:clientData/>
  </xdr:oneCellAnchor>
  <xdr:oneCellAnchor>
    <xdr:from>
      <xdr:col>5</xdr:col>
      <xdr:colOff>589955</xdr:colOff>
      <xdr:row>1</xdr:row>
      <xdr:rowOff>119903</xdr:rowOff>
    </xdr:from>
    <xdr:ext cx="3240000" cy="439492"/>
    <xdr:pic>
      <xdr:nvPicPr>
        <xdr:cNvPr id="3" name="Picture 2">
          <a:extLst>
            <a:ext uri="{FF2B5EF4-FFF2-40B4-BE49-F238E27FC236}">
              <a16:creationId xmlns:a16="http://schemas.microsoft.com/office/drawing/2014/main" id="{014F5EBA-8A78-4389-9769-5D9E0C1375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37955" y="287543"/>
          <a:ext cx="3240000" cy="4394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36393</xdr:colOff>
      <xdr:row>1</xdr:row>
      <xdr:rowOff>28959</xdr:rowOff>
    </xdr:from>
    <xdr:ext cx="2721586" cy="1800000"/>
    <xdr:pic>
      <xdr:nvPicPr>
        <xdr:cNvPr id="2" name="Picture 1">
          <a:extLst>
            <a:ext uri="{FF2B5EF4-FFF2-40B4-BE49-F238E27FC236}">
              <a16:creationId xmlns:a16="http://schemas.microsoft.com/office/drawing/2014/main" id="{72DA75DC-731F-4994-A111-F0BED2943B53}"/>
            </a:ext>
          </a:extLst>
        </xdr:cNvPr>
        <xdr:cNvPicPr>
          <a:picLocks/>
        </xdr:cNvPicPr>
      </xdr:nvPicPr>
      <xdr:blipFill>
        <a:blip xmlns:r="http://schemas.openxmlformats.org/officeDocument/2006/relationships" r:embed="rId1"/>
        <a:stretch>
          <a:fillRect/>
        </a:stretch>
      </xdr:blipFill>
      <xdr:spPr>
        <a:xfrm>
          <a:off x="645993" y="196599"/>
          <a:ext cx="2721586" cy="1800000"/>
        </a:xfrm>
        <a:prstGeom prst="rect">
          <a:avLst/>
        </a:prstGeom>
      </xdr:spPr>
    </xdr:pic>
    <xdr:clientData/>
  </xdr:oneCellAnchor>
  <xdr:oneCellAnchor>
    <xdr:from>
      <xdr:col>6</xdr:col>
      <xdr:colOff>736472</xdr:colOff>
      <xdr:row>1</xdr:row>
      <xdr:rowOff>108762</xdr:rowOff>
    </xdr:from>
    <xdr:ext cx="3240000" cy="439200"/>
    <xdr:pic>
      <xdr:nvPicPr>
        <xdr:cNvPr id="3" name="Picture 2">
          <a:extLst>
            <a:ext uri="{FF2B5EF4-FFF2-40B4-BE49-F238E27FC236}">
              <a16:creationId xmlns:a16="http://schemas.microsoft.com/office/drawing/2014/main" id="{364D57B5-B8A3-463A-8212-B53A1264626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05258" y="326476"/>
          <a:ext cx="3240000" cy="439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b801f2f01c618f2/Stalinis%20kompiuteris/Darbas/Darbas/Parinkimo%20lenteles/1%20Visos%20naujos/EN/FC%20Select.xlsx" TargetMode="External"/><Relationship Id="rId2" Type="http://schemas.openxmlformats.org/officeDocument/2006/relationships/externalLinkPath" Target="https://d.docs.live.net/5f3ca257ae7b43be/Desktop/FC%20Select.xlsx" TargetMode="External"/><Relationship Id="rId1" Type="http://schemas.openxmlformats.org/officeDocument/2006/relationships/externalLinkPath" Target="/eb801f2f01c618f2/Stalinis%20kompiuteris/Darbas/Darbas/Parinkimo%20lenteles/1%20Visos%20naujos/EN/FC%20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C select"/>
    </sheetNames>
    <sheetDataSet>
      <sheetData sheetId="0">
        <row r="60">
          <cell r="B60" t="str">
            <v>Senos galios, kurias matavom patys savo stendu. Galiojo iki 2018-06-05</v>
          </cell>
        </row>
        <row r="61">
          <cell r="B61" t="str">
            <v>Plotis,
cm</v>
          </cell>
          <cell r="C61" t="str">
            <v>Aukštis,
cm</v>
          </cell>
          <cell r="D61" t="str">
            <v>Ilgis, cm</v>
          </cell>
        </row>
        <row r="62">
          <cell r="D62">
            <v>80</v>
          </cell>
          <cell r="E62">
            <v>90</v>
          </cell>
          <cell r="F62">
            <v>100</v>
          </cell>
          <cell r="G62">
            <v>110</v>
          </cell>
          <cell r="H62">
            <v>120</v>
          </cell>
          <cell r="I62">
            <v>130</v>
          </cell>
          <cell r="J62">
            <v>140</v>
          </cell>
          <cell r="K62">
            <v>150</v>
          </cell>
          <cell r="L62">
            <v>160</v>
          </cell>
          <cell r="M62">
            <v>170</v>
          </cell>
          <cell r="N62">
            <v>180</v>
          </cell>
          <cell r="O62">
            <v>190</v>
          </cell>
          <cell r="P62">
            <v>200</v>
          </cell>
          <cell r="Q62">
            <v>210</v>
          </cell>
          <cell r="R62">
            <v>220</v>
          </cell>
          <cell r="S62">
            <v>230</v>
          </cell>
          <cell r="T62">
            <v>240</v>
          </cell>
          <cell r="U62">
            <v>250</v>
          </cell>
          <cell r="V62">
            <v>260</v>
          </cell>
          <cell r="W62">
            <v>270</v>
          </cell>
          <cell r="X62">
            <v>280</v>
          </cell>
          <cell r="Y62">
            <v>290</v>
          </cell>
          <cell r="Z62">
            <v>300</v>
          </cell>
        </row>
        <row r="63">
          <cell r="B63">
            <v>22</v>
          </cell>
          <cell r="C63">
            <v>9</v>
          </cell>
          <cell r="D63">
            <v>159.01995225700932</v>
          </cell>
          <cell r="E63">
            <v>192.14910897721961</v>
          </cell>
          <cell r="F63">
            <v>225.2782656974299</v>
          </cell>
          <cell r="G63">
            <v>258.40742241764019</v>
          </cell>
          <cell r="H63">
            <v>291.53657913785042</v>
          </cell>
          <cell r="I63">
            <v>324.66573585806071</v>
          </cell>
          <cell r="J63">
            <v>357.794892578271</v>
          </cell>
          <cell r="K63">
            <v>390.92404929848124</v>
          </cell>
          <cell r="L63">
            <v>424.05320601869158</v>
          </cell>
          <cell r="M63">
            <v>457.18236273890182</v>
          </cell>
          <cell r="N63">
            <v>490.31151945911211</v>
          </cell>
          <cell r="O63">
            <v>523.4406761793224</v>
          </cell>
          <cell r="P63">
            <v>556.56983289953268</v>
          </cell>
          <cell r="Q63">
            <v>589.69898961974297</v>
          </cell>
          <cell r="R63">
            <v>622.82814633995315</v>
          </cell>
          <cell r="S63">
            <v>655.95730306016355</v>
          </cell>
          <cell r="T63">
            <v>689.08645978037384</v>
          </cell>
          <cell r="U63">
            <v>722.21561650058413</v>
          </cell>
          <cell r="V63">
            <v>755.34477322079431</v>
          </cell>
          <cell r="W63">
            <v>788.4739299410046</v>
          </cell>
          <cell r="X63">
            <v>821.60308666121489</v>
          </cell>
          <cell r="Y63">
            <v>854.73224338142518</v>
          </cell>
          <cell r="Z63">
            <v>887.86140010163547</v>
          </cell>
        </row>
        <row r="64">
          <cell r="C64">
            <v>15</v>
          </cell>
          <cell r="D64">
            <v>250.7133343317758</v>
          </cell>
          <cell r="E64">
            <v>299.39553517289727</v>
          </cell>
          <cell r="F64">
            <v>348.0777360140188</v>
          </cell>
          <cell r="G64">
            <v>396.75993685514027</v>
          </cell>
          <cell r="H64">
            <v>445.44213769626185</v>
          </cell>
          <cell r="I64">
            <v>494.12433853738327</v>
          </cell>
          <cell r="J64">
            <v>542.80653937850479</v>
          </cell>
          <cell r="K64">
            <v>591.48874021962638</v>
          </cell>
          <cell r="L64">
            <v>640.17094106074785</v>
          </cell>
          <cell r="M64">
            <v>688.85314190186944</v>
          </cell>
          <cell r="N64">
            <v>737.53534274299079</v>
          </cell>
          <cell r="O64">
            <v>786.21754358411238</v>
          </cell>
          <cell r="P64">
            <v>834.89974442523396</v>
          </cell>
          <cell r="Q64">
            <v>883.58194526635543</v>
          </cell>
          <cell r="R64">
            <v>932.2641461074769</v>
          </cell>
          <cell r="S64">
            <v>980.94634694859849</v>
          </cell>
          <cell r="T64">
            <v>1029.62854778972</v>
          </cell>
          <cell r="U64">
            <v>1078.3107486308413</v>
          </cell>
          <cell r="V64">
            <v>1126.9929494719629</v>
          </cell>
          <cell r="W64">
            <v>1175.6751503130845</v>
          </cell>
          <cell r="X64">
            <v>1224.3573511542061</v>
          </cell>
          <cell r="Y64">
            <v>1273.0395519953277</v>
          </cell>
          <cell r="Z64">
            <v>1321.721752836449</v>
          </cell>
        </row>
        <row r="65">
          <cell r="B65">
            <v>32</v>
          </cell>
          <cell r="C65">
            <v>9</v>
          </cell>
          <cell r="D65">
            <v>209.64039669565224</v>
          </cell>
          <cell r="E65">
            <v>253.31547934057977</v>
          </cell>
          <cell r="F65">
            <v>296.99056198550738</v>
          </cell>
          <cell r="G65">
            <v>340.66564463043488</v>
          </cell>
          <cell r="H65">
            <v>384.34072727536244</v>
          </cell>
          <cell r="I65">
            <v>428.01580992029</v>
          </cell>
          <cell r="J65">
            <v>471.69089256521755</v>
          </cell>
          <cell r="K65">
            <v>515.36597521014505</v>
          </cell>
          <cell r="L65">
            <v>559.04105785507261</v>
          </cell>
          <cell r="M65">
            <v>602.71614050000017</v>
          </cell>
          <cell r="N65">
            <v>646.39122314492772</v>
          </cell>
          <cell r="O65">
            <v>690.06630578985528</v>
          </cell>
          <cell r="P65">
            <v>733.74138843478283</v>
          </cell>
          <cell r="Q65">
            <v>777.41647107971039</v>
          </cell>
          <cell r="R65">
            <v>821.09155372463795</v>
          </cell>
          <cell r="S65">
            <v>864.7666363695655</v>
          </cell>
          <cell r="T65">
            <v>908.44171901449306</v>
          </cell>
          <cell r="U65">
            <v>952.11680165942073</v>
          </cell>
          <cell r="V65">
            <v>995.79188430434806</v>
          </cell>
          <cell r="W65">
            <v>1039.4669669492757</v>
          </cell>
          <cell r="X65">
            <v>1083.1420495942032</v>
          </cell>
          <cell r="Y65">
            <v>1126.8171322391308</v>
          </cell>
          <cell r="Z65">
            <v>1170.4922148840585</v>
          </cell>
        </row>
        <row r="66">
          <cell r="C66">
            <v>11</v>
          </cell>
          <cell r="D66">
            <v>246.89930339130439</v>
          </cell>
          <cell r="E66">
            <v>298.33665826449283</v>
          </cell>
          <cell r="F66">
            <v>349.77401313768127</v>
          </cell>
          <cell r="G66">
            <v>401.21136801086965</v>
          </cell>
          <cell r="H66">
            <v>452.64872288405809</v>
          </cell>
          <cell r="I66">
            <v>504.08607775724647</v>
          </cell>
          <cell r="J66">
            <v>555.52343263043497</v>
          </cell>
          <cell r="K66">
            <v>606.96078750362324</v>
          </cell>
          <cell r="L66">
            <v>658.39814237681173</v>
          </cell>
          <cell r="M66">
            <v>709.83549725000012</v>
          </cell>
          <cell r="N66">
            <v>761.27285212318861</v>
          </cell>
          <cell r="O66">
            <v>812.710206996377</v>
          </cell>
          <cell r="P66">
            <v>864.14756186956538</v>
          </cell>
          <cell r="Q66">
            <v>915.58491674275388</v>
          </cell>
          <cell r="R66">
            <v>967.02227161594215</v>
          </cell>
          <cell r="S66">
            <v>1018.4596264891306</v>
          </cell>
          <cell r="T66">
            <v>1069.8969813623191</v>
          </cell>
          <cell r="U66">
            <v>1121.3343362355076</v>
          </cell>
          <cell r="V66">
            <v>1172.7716911086959</v>
          </cell>
          <cell r="W66">
            <v>1224.2090459818842</v>
          </cell>
          <cell r="X66">
            <v>1275.6464008550727</v>
          </cell>
          <cell r="Y66">
            <v>1327.0837557282612</v>
          </cell>
          <cell r="Z66">
            <v>1378.5211106014497</v>
          </cell>
        </row>
        <row r="67">
          <cell r="C67">
            <v>15</v>
          </cell>
          <cell r="D67">
            <v>402.6236704437793</v>
          </cell>
          <cell r="E67">
            <v>480.80302392800826</v>
          </cell>
          <cell r="F67">
            <v>558.98237741223727</v>
          </cell>
          <cell r="G67">
            <v>637.16173089646622</v>
          </cell>
          <cell r="H67">
            <v>715.34108438069529</v>
          </cell>
          <cell r="I67">
            <v>793.52043786492413</v>
          </cell>
          <cell r="J67">
            <v>871.6997913491532</v>
          </cell>
          <cell r="K67">
            <v>949.87914483338227</v>
          </cell>
          <cell r="L67">
            <v>1028.0584983176111</v>
          </cell>
          <cell r="M67">
            <v>1106.2378518018402</v>
          </cell>
          <cell r="N67">
            <v>1184.417205286069</v>
          </cell>
          <cell r="O67">
            <v>1262.5965587702981</v>
          </cell>
          <cell r="P67">
            <v>1340.7759122545272</v>
          </cell>
          <cell r="Q67">
            <v>1418.955265738756</v>
          </cell>
          <cell r="R67">
            <v>1497.1346192229851</v>
          </cell>
          <cell r="S67">
            <v>1575.3139727072141</v>
          </cell>
          <cell r="T67">
            <v>1653.4933261914432</v>
          </cell>
          <cell r="U67">
            <v>1731.672679675672</v>
          </cell>
          <cell r="V67">
            <v>1809.8520331599011</v>
          </cell>
          <cell r="W67">
            <v>1888.0313866441302</v>
          </cell>
          <cell r="X67">
            <v>1966.2107401283592</v>
          </cell>
          <cell r="Y67">
            <v>2044.3900936125883</v>
          </cell>
          <cell r="Z67">
            <v>2122.5694470968169</v>
          </cell>
        </row>
        <row r="68">
          <cell r="C68">
            <v>30</v>
          </cell>
          <cell r="D68">
            <v>458</v>
          </cell>
          <cell r="E68">
            <v>549</v>
          </cell>
          <cell r="F68">
            <v>640</v>
          </cell>
          <cell r="G68">
            <v>731</v>
          </cell>
          <cell r="H68">
            <v>822</v>
          </cell>
          <cell r="I68">
            <v>913</v>
          </cell>
          <cell r="J68">
            <v>1004</v>
          </cell>
          <cell r="K68">
            <v>1095</v>
          </cell>
          <cell r="L68">
            <v>1186</v>
          </cell>
          <cell r="M68">
            <v>1276</v>
          </cell>
          <cell r="N68">
            <v>1367</v>
          </cell>
          <cell r="O68">
            <v>1458</v>
          </cell>
          <cell r="P68">
            <v>1549</v>
          </cell>
          <cell r="Q68">
            <v>1640</v>
          </cell>
          <cell r="R68">
            <v>1731</v>
          </cell>
          <cell r="S68">
            <v>1822</v>
          </cell>
          <cell r="T68">
            <v>1913</v>
          </cell>
          <cell r="U68">
            <v>2004</v>
          </cell>
          <cell r="V68">
            <v>2095</v>
          </cell>
          <cell r="W68">
            <v>2186</v>
          </cell>
          <cell r="X68">
            <v>2277</v>
          </cell>
          <cell r="Y68">
            <v>2368</v>
          </cell>
          <cell r="Z68">
            <v>2459</v>
          </cell>
        </row>
        <row r="69">
          <cell r="C69">
            <v>45</v>
          </cell>
          <cell r="D69">
            <v>803</v>
          </cell>
          <cell r="E69">
            <v>962</v>
          </cell>
          <cell r="F69">
            <v>1122</v>
          </cell>
          <cell r="G69">
            <v>1281</v>
          </cell>
          <cell r="H69">
            <v>1441</v>
          </cell>
          <cell r="I69">
            <v>1600</v>
          </cell>
          <cell r="J69">
            <v>1759</v>
          </cell>
          <cell r="K69">
            <v>1919</v>
          </cell>
          <cell r="L69">
            <v>2078</v>
          </cell>
          <cell r="M69">
            <v>2238</v>
          </cell>
          <cell r="N69">
            <v>2397</v>
          </cell>
          <cell r="O69">
            <v>2557</v>
          </cell>
          <cell r="P69">
            <v>2716</v>
          </cell>
          <cell r="Q69">
            <v>2876</v>
          </cell>
          <cell r="R69">
            <v>3035</v>
          </cell>
          <cell r="S69">
            <v>3195</v>
          </cell>
          <cell r="T69">
            <v>3354</v>
          </cell>
          <cell r="U69">
            <v>3514</v>
          </cell>
          <cell r="V69">
            <v>3673</v>
          </cell>
          <cell r="W69">
            <v>3833</v>
          </cell>
          <cell r="X69">
            <v>3992</v>
          </cell>
          <cell r="Y69">
            <v>4152</v>
          </cell>
          <cell r="Z69">
            <v>4311</v>
          </cell>
        </row>
        <row r="70">
          <cell r="B70">
            <v>42</v>
          </cell>
          <cell r="C70">
            <v>9</v>
          </cell>
          <cell r="D70">
            <v>311.47746877657715</v>
          </cell>
          <cell r="E70">
            <v>371.95853067494164</v>
          </cell>
          <cell r="F70">
            <v>432.43959257330613</v>
          </cell>
          <cell r="G70">
            <v>492.92065447167062</v>
          </cell>
          <cell r="H70">
            <v>553.40171637003516</v>
          </cell>
          <cell r="I70">
            <v>613.88277826839965</v>
          </cell>
          <cell r="J70">
            <v>674.36384016676413</v>
          </cell>
          <cell r="K70">
            <v>734.84490206512874</v>
          </cell>
          <cell r="L70">
            <v>795.32596396349311</v>
          </cell>
          <cell r="M70">
            <v>855.80702586185771</v>
          </cell>
          <cell r="N70">
            <v>916.28808776022208</v>
          </cell>
          <cell r="O70">
            <v>976.76914965858668</v>
          </cell>
          <cell r="P70">
            <v>1037.2502115569512</v>
          </cell>
          <cell r="Q70">
            <v>1097.7312734553157</v>
          </cell>
          <cell r="R70">
            <v>1158.2123353536801</v>
          </cell>
          <cell r="S70">
            <v>1218.6933972520446</v>
          </cell>
          <cell r="T70">
            <v>1279.1744591504093</v>
          </cell>
          <cell r="U70">
            <v>1339.6555210487736</v>
          </cell>
          <cell r="V70">
            <v>1400.1365829471381</v>
          </cell>
          <cell r="W70">
            <v>1460.6176448455026</v>
          </cell>
          <cell r="X70">
            <v>1521.0987067438673</v>
          </cell>
          <cell r="Y70">
            <v>1581.5797686422318</v>
          </cell>
          <cell r="Z70">
            <v>1642.060830540596</v>
          </cell>
        </row>
        <row r="71">
          <cell r="C71">
            <v>11</v>
          </cell>
          <cell r="D71">
            <v>372.24160322137851</v>
          </cell>
          <cell r="E71">
            <v>444.52152617698601</v>
          </cell>
          <cell r="F71">
            <v>516.80144913259346</v>
          </cell>
          <cell r="G71">
            <v>589.08137208820096</v>
          </cell>
          <cell r="H71">
            <v>661.36129504380847</v>
          </cell>
          <cell r="I71">
            <v>733.64121799941586</v>
          </cell>
          <cell r="J71">
            <v>805.92114095502336</v>
          </cell>
          <cell r="K71">
            <v>878.20106391063098</v>
          </cell>
          <cell r="L71">
            <v>950.48098686623837</v>
          </cell>
          <cell r="M71">
            <v>1022.7609098218459</v>
          </cell>
          <cell r="N71">
            <v>1095.0408327774533</v>
          </cell>
          <cell r="O71">
            <v>1167.3207557330609</v>
          </cell>
          <cell r="P71">
            <v>1239.6006786886683</v>
          </cell>
          <cell r="Q71">
            <v>1311.8806016442757</v>
          </cell>
          <cell r="R71">
            <v>1384.1605245998833</v>
          </cell>
          <cell r="S71">
            <v>1456.4404475554909</v>
          </cell>
          <cell r="T71">
            <v>1528.7203705110983</v>
          </cell>
          <cell r="U71">
            <v>1601.0002934667057</v>
          </cell>
          <cell r="V71">
            <v>1673.2802164223131</v>
          </cell>
          <cell r="W71">
            <v>1745.5601393779207</v>
          </cell>
          <cell r="X71">
            <v>1817.8400623335283</v>
          </cell>
          <cell r="Y71">
            <v>1890.1199852891357</v>
          </cell>
          <cell r="Z71">
            <v>1962.3999082447431</v>
          </cell>
        </row>
        <row r="72">
          <cell r="C72">
            <v>15</v>
          </cell>
          <cell r="D72">
            <v>474.94865666037748</v>
          </cell>
          <cell r="E72">
            <v>573.89629346462277</v>
          </cell>
          <cell r="F72">
            <v>672.84393026886823</v>
          </cell>
          <cell r="G72">
            <v>771.79156707311347</v>
          </cell>
          <cell r="H72">
            <v>870.73920387735882</v>
          </cell>
          <cell r="I72">
            <v>969.68684068160405</v>
          </cell>
          <cell r="J72">
            <v>1068.6344774858494</v>
          </cell>
          <cell r="K72">
            <v>1167.5821142900948</v>
          </cell>
          <cell r="L72">
            <v>1266.5297510943401</v>
          </cell>
          <cell r="M72">
            <v>1365.4773878985852</v>
          </cell>
          <cell r="N72">
            <v>1464.4250247028306</v>
          </cell>
          <cell r="O72">
            <v>1563.3726615070761</v>
          </cell>
          <cell r="P72">
            <v>1662.3202983113213</v>
          </cell>
          <cell r="Q72">
            <v>1761.2679351155666</v>
          </cell>
          <cell r="R72">
            <v>1860.2155719198117</v>
          </cell>
          <cell r="S72">
            <v>1959.1632087240573</v>
          </cell>
          <cell r="T72">
            <v>2058.1108455283024</v>
          </cell>
          <cell r="U72">
            <v>2157.058482332548</v>
          </cell>
          <cell r="V72">
            <v>2256.0061191367931</v>
          </cell>
          <cell r="W72">
            <v>2354.9537559410383</v>
          </cell>
          <cell r="X72">
            <v>2453.9013927452838</v>
          </cell>
          <cell r="Y72">
            <v>2552.8490295495294</v>
          </cell>
          <cell r="Z72">
            <v>2651.7966663537745</v>
          </cell>
        </row>
        <row r="73">
          <cell r="C73">
            <v>30</v>
          </cell>
          <cell r="D73">
            <v>803</v>
          </cell>
          <cell r="E73">
            <v>962</v>
          </cell>
          <cell r="F73">
            <v>1122</v>
          </cell>
          <cell r="G73">
            <v>1281</v>
          </cell>
          <cell r="H73">
            <v>1441</v>
          </cell>
          <cell r="I73">
            <v>1600</v>
          </cell>
          <cell r="J73">
            <v>1759</v>
          </cell>
          <cell r="K73">
            <v>1919</v>
          </cell>
          <cell r="L73">
            <v>2078</v>
          </cell>
          <cell r="M73">
            <v>2238</v>
          </cell>
          <cell r="N73">
            <v>2397</v>
          </cell>
          <cell r="O73">
            <v>2557</v>
          </cell>
          <cell r="P73">
            <v>2716</v>
          </cell>
          <cell r="Q73">
            <v>2876</v>
          </cell>
          <cell r="R73">
            <v>3035</v>
          </cell>
          <cell r="S73">
            <v>3195</v>
          </cell>
          <cell r="T73">
            <v>3354</v>
          </cell>
          <cell r="U73">
            <v>3514</v>
          </cell>
          <cell r="V73">
            <v>3673</v>
          </cell>
          <cell r="W73">
            <v>3833</v>
          </cell>
          <cell r="X73">
            <v>3992</v>
          </cell>
          <cell r="Y73">
            <v>4152</v>
          </cell>
          <cell r="Z73">
            <v>4311</v>
          </cell>
        </row>
        <row r="74">
          <cell r="C74">
            <v>45</v>
          </cell>
          <cell r="D74">
            <v>1116</v>
          </cell>
          <cell r="E74">
            <v>1337</v>
          </cell>
          <cell r="F74">
            <v>1559</v>
          </cell>
          <cell r="G74">
            <v>1781</v>
          </cell>
          <cell r="H74">
            <v>2002</v>
          </cell>
          <cell r="I74">
            <v>2224</v>
          </cell>
          <cell r="J74">
            <v>2446</v>
          </cell>
          <cell r="K74">
            <v>2667</v>
          </cell>
          <cell r="L74">
            <v>2889</v>
          </cell>
          <cell r="M74">
            <v>3111</v>
          </cell>
          <cell r="N74">
            <v>3332</v>
          </cell>
          <cell r="O74">
            <v>3554</v>
          </cell>
          <cell r="P74">
            <v>3776</v>
          </cell>
          <cell r="Q74">
            <v>3997</v>
          </cell>
          <cell r="R74">
            <v>4219</v>
          </cell>
          <cell r="S74">
            <v>4441</v>
          </cell>
          <cell r="T74">
            <v>4662</v>
          </cell>
          <cell r="U74">
            <v>4884</v>
          </cell>
          <cell r="V74">
            <v>5106</v>
          </cell>
          <cell r="W74">
            <v>5327</v>
          </cell>
          <cell r="X74">
            <v>5549</v>
          </cell>
          <cell r="Y74">
            <v>5771</v>
          </cell>
          <cell r="Z74">
            <v>5992</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3AE61-87AE-4096-B8DD-5DE5BC0F7089}">
  <dimension ref="A1:AT76"/>
  <sheetViews>
    <sheetView showZeros="0" zoomScaleNormal="100" zoomScaleSheetLayoutView="85" workbookViewId="0">
      <selection activeCell="B11" sqref="B11:D11"/>
    </sheetView>
  </sheetViews>
  <sheetFormatPr defaultColWidth="10" defaultRowHeight="17.399999999999999" x14ac:dyDescent="0.25"/>
  <cols>
    <col min="1" max="1" width="8" style="10" customWidth="1"/>
    <col min="2" max="2" width="29.44140625" style="10" bestFit="1" customWidth="1"/>
    <col min="3" max="3" width="7.109375" style="10" bestFit="1" customWidth="1"/>
    <col min="4" max="4" width="7.6640625" style="10" bestFit="1" customWidth="1"/>
    <col min="5" max="10" width="12.44140625" style="10" customWidth="1"/>
    <col min="11" max="30" width="7.44140625" style="10" customWidth="1"/>
    <col min="31" max="31" width="7.6640625" style="10" bestFit="1" customWidth="1"/>
    <col min="32" max="37" width="7.44140625" style="10" customWidth="1"/>
    <col min="38" max="38" width="6.33203125" style="10" bestFit="1" customWidth="1"/>
    <col min="39" max="39" width="9.44140625" style="10" customWidth="1"/>
    <col min="40" max="48" width="10" style="10" customWidth="1"/>
    <col min="49" max="16384" width="10" style="10"/>
  </cols>
  <sheetData>
    <row r="1" spans="1:46" x14ac:dyDescent="0.4">
      <c r="A1" s="7"/>
      <c r="B1" s="7"/>
      <c r="C1" s="7"/>
      <c r="D1" s="8"/>
      <c r="E1" s="9"/>
      <c r="F1" s="9"/>
      <c r="AG1" s="11"/>
      <c r="AH1" s="11"/>
      <c r="AI1" s="11"/>
      <c r="AL1" s="12"/>
    </row>
    <row r="2" spans="1:46" ht="17.399999999999999" customHeight="1" x14ac:dyDescent="0.25">
      <c r="A2" s="7"/>
      <c r="B2" s="7"/>
      <c r="I2" s="13" t="s">
        <v>63</v>
      </c>
      <c r="J2" s="14">
        <v>55</v>
      </c>
      <c r="AG2" s="11"/>
      <c r="AH2" s="11"/>
      <c r="AI2" s="11"/>
      <c r="AL2" s="12"/>
    </row>
    <row r="3" spans="1:46" x14ac:dyDescent="0.25">
      <c r="I3" s="13" t="s">
        <v>64</v>
      </c>
      <c r="J3" s="14">
        <v>45</v>
      </c>
      <c r="AG3" s="11"/>
      <c r="AH3" s="11"/>
      <c r="AI3" s="11"/>
      <c r="AL3" s="12"/>
      <c r="AT3" s="15"/>
    </row>
    <row r="4" spans="1:46" x14ac:dyDescent="0.25">
      <c r="H4" s="16"/>
      <c r="I4" s="13" t="s">
        <v>65</v>
      </c>
      <c r="J4" s="14">
        <v>20</v>
      </c>
      <c r="AG4" s="11"/>
      <c r="AH4" s="11"/>
      <c r="AI4" s="11"/>
      <c r="AL4" s="12"/>
    </row>
    <row r="5" spans="1:46" x14ac:dyDescent="0.25">
      <c r="D5" s="16"/>
      <c r="E5" s="16"/>
      <c r="F5" s="16"/>
      <c r="G5" s="16"/>
      <c r="H5" s="16"/>
      <c r="I5" s="13" t="s">
        <v>66</v>
      </c>
      <c r="J5" s="14">
        <f>(J2+J3)/2-J4</f>
        <v>30</v>
      </c>
      <c r="AG5" s="17"/>
      <c r="AH5" s="11"/>
      <c r="AI5" s="11"/>
    </row>
    <row r="6" spans="1:46" ht="26.4" x14ac:dyDescent="0.25">
      <c r="A6" s="15"/>
      <c r="B6" s="15"/>
      <c r="C6" s="199" t="s">
        <v>67</v>
      </c>
      <c r="D6" s="199"/>
      <c r="E6" s="199"/>
      <c r="F6" s="199"/>
      <c r="G6" s="199"/>
      <c r="H6" s="16"/>
      <c r="I6" s="18"/>
      <c r="J6" s="19"/>
      <c r="AG6" s="17"/>
      <c r="AI6" s="11"/>
      <c r="AL6" s="12"/>
    </row>
    <row r="7" spans="1:46" ht="17.399999999999999" customHeight="1" x14ac:dyDescent="0.25">
      <c r="A7" s="15"/>
      <c r="B7" s="15"/>
      <c r="C7" s="200" t="s">
        <v>68</v>
      </c>
      <c r="D7" s="200"/>
      <c r="E7" s="200"/>
      <c r="F7" s="200"/>
      <c r="G7" s="200"/>
      <c r="H7" s="16"/>
      <c r="I7" s="13" t="s">
        <v>69</v>
      </c>
      <c r="J7" s="21">
        <v>1200</v>
      </c>
      <c r="AG7" s="17"/>
      <c r="AI7" s="11"/>
    </row>
    <row r="8" spans="1:46" x14ac:dyDescent="0.25">
      <c r="H8" s="20"/>
      <c r="I8" s="13" t="s">
        <v>70</v>
      </c>
      <c r="J8" s="22">
        <v>0.2</v>
      </c>
      <c r="K8" s="16"/>
      <c r="L8" s="16"/>
      <c r="M8" s="16"/>
      <c r="N8" s="16"/>
      <c r="O8" s="16"/>
      <c r="P8" s="16"/>
      <c r="Q8" s="16"/>
      <c r="R8" s="16"/>
      <c r="S8" s="16"/>
      <c r="T8" s="16"/>
      <c r="U8" s="16"/>
      <c r="V8" s="16"/>
      <c r="W8" s="16"/>
      <c r="X8" s="16"/>
      <c r="Y8" s="16"/>
      <c r="Z8" s="16"/>
      <c r="AA8" s="16"/>
      <c r="AB8" s="16"/>
      <c r="AC8" s="16"/>
      <c r="AD8" s="16"/>
      <c r="AE8" s="16"/>
      <c r="AF8" s="10">
        <f>J7*(1+J8)</f>
        <v>1440</v>
      </c>
      <c r="AG8" s="17"/>
      <c r="AI8" s="11"/>
    </row>
    <row r="9" spans="1:46" x14ac:dyDescent="0.25">
      <c r="I9" s="13" t="s">
        <v>71</v>
      </c>
      <c r="J9" s="22"/>
      <c r="AF9" s="10">
        <f>J7*(1-J9)</f>
        <v>1200</v>
      </c>
      <c r="AI9" s="11"/>
      <c r="AL9" s="12"/>
    </row>
    <row r="10" spans="1:46" s="9" customFormat="1" x14ac:dyDescent="0.25">
      <c r="D10" s="23"/>
      <c r="E10" s="24"/>
      <c r="F10" s="24"/>
      <c r="AE10" s="10"/>
      <c r="AF10" s="10"/>
      <c r="AG10" s="10"/>
      <c r="AH10" s="10"/>
      <c r="AI10" s="10"/>
      <c r="AJ10" s="10"/>
      <c r="AK10" s="10"/>
    </row>
    <row r="11" spans="1:46" x14ac:dyDescent="0.25">
      <c r="B11" s="201" t="s">
        <v>40</v>
      </c>
      <c r="C11" s="201"/>
      <c r="D11" s="201"/>
      <c r="E11" s="25" t="s">
        <v>72</v>
      </c>
      <c r="F11" s="26" t="s">
        <v>73</v>
      </c>
      <c r="G11" s="25" t="s">
        <v>74</v>
      </c>
      <c r="H11" s="27" t="s">
        <v>75</v>
      </c>
      <c r="I11" s="25" t="s">
        <v>76</v>
      </c>
      <c r="J11" s="27" t="s">
        <v>77</v>
      </c>
    </row>
    <row r="12" spans="1:46" x14ac:dyDescent="0.25">
      <c r="B12" s="202" t="s">
        <v>78</v>
      </c>
      <c r="C12" s="203" t="s">
        <v>62</v>
      </c>
      <c r="D12" s="28">
        <v>1</v>
      </c>
      <c r="E12" s="29">
        <v>158</v>
      </c>
      <c r="F12" s="30">
        <f>$E12*2</f>
        <v>316</v>
      </c>
      <c r="G12" s="29">
        <f>$E12*3</f>
        <v>474</v>
      </c>
      <c r="H12" s="30">
        <f>$E12*4</f>
        <v>632</v>
      </c>
      <c r="I12" s="29">
        <f>$E12*5</f>
        <v>790</v>
      </c>
      <c r="J12" s="30">
        <f>$E12*6</f>
        <v>948</v>
      </c>
    </row>
    <row r="13" spans="1:46" x14ac:dyDescent="0.25">
      <c r="B13" s="202"/>
      <c r="C13" s="203"/>
      <c r="D13" s="28">
        <v>0.8</v>
      </c>
      <c r="E13" s="29">
        <v>126</v>
      </c>
      <c r="F13" s="30">
        <f>$E13*2</f>
        <v>252</v>
      </c>
      <c r="G13" s="29">
        <f>$E13*3</f>
        <v>378</v>
      </c>
      <c r="H13" s="30">
        <f>$E13*4</f>
        <v>504</v>
      </c>
      <c r="I13" s="29">
        <f>$E13*5</f>
        <v>630</v>
      </c>
      <c r="J13" s="30">
        <f>$E13*6</f>
        <v>756</v>
      </c>
    </row>
    <row r="14" spans="1:46" x14ac:dyDescent="0.25">
      <c r="B14" s="202"/>
      <c r="C14" s="203"/>
      <c r="D14" s="28">
        <v>0.6</v>
      </c>
      <c r="E14" s="29">
        <v>89</v>
      </c>
      <c r="F14" s="30">
        <f>$E14*2</f>
        <v>178</v>
      </c>
      <c r="G14" s="29">
        <f>$E14*3</f>
        <v>267</v>
      </c>
      <c r="H14" s="30">
        <f>$E14*4</f>
        <v>356</v>
      </c>
      <c r="I14" s="29">
        <f>$E14*5</f>
        <v>445</v>
      </c>
      <c r="J14" s="30">
        <f>$E14*6</f>
        <v>534</v>
      </c>
    </row>
    <row r="15" spans="1:46" x14ac:dyDescent="0.25">
      <c r="B15" s="202"/>
      <c r="C15" s="203"/>
      <c r="D15" s="28">
        <v>0.4</v>
      </c>
      <c r="E15" s="29">
        <v>55</v>
      </c>
      <c r="F15" s="30">
        <f>$E15*2</f>
        <v>110</v>
      </c>
      <c r="G15" s="29">
        <f>$E15*3</f>
        <v>165</v>
      </c>
      <c r="H15" s="30">
        <f>$E15*4</f>
        <v>220</v>
      </c>
      <c r="I15" s="29">
        <f>$E15*5</f>
        <v>275</v>
      </c>
      <c r="J15" s="30">
        <f>$E15*6</f>
        <v>330</v>
      </c>
    </row>
    <row r="16" spans="1:46" x14ac:dyDescent="0.25">
      <c r="B16" s="202"/>
      <c r="C16" s="203"/>
      <c r="D16" s="28">
        <v>0.2</v>
      </c>
      <c r="E16" s="29">
        <v>17.399999999999999</v>
      </c>
      <c r="F16" s="31">
        <f>$E16*2</f>
        <v>34.799999999999997</v>
      </c>
      <c r="G16" s="29">
        <f>$E16*3</f>
        <v>52.199999999999996</v>
      </c>
      <c r="H16" s="31">
        <f>$E16*4</f>
        <v>69.599999999999994</v>
      </c>
      <c r="I16" s="29">
        <f>$E16*5</f>
        <v>87</v>
      </c>
      <c r="J16" s="31">
        <f>$E16*6</f>
        <v>104.39999999999999</v>
      </c>
    </row>
    <row r="17" spans="1:37" x14ac:dyDescent="0.25">
      <c r="A17" s="32"/>
      <c r="B17" s="202" t="s">
        <v>79</v>
      </c>
      <c r="C17" s="203" t="s">
        <v>80</v>
      </c>
      <c r="D17" s="28">
        <v>1</v>
      </c>
      <c r="E17" s="33">
        <f>(-7.3648*($D17*10)^2+365.3792*($D17*10)-116.7486)*($J$5/50)^0.9753*0.41</f>
        <v>697.6862757621376</v>
      </c>
      <c r="F17" s="30">
        <f>(-7.3648*($D17*10)^2+365.3792*($D17*10)-116.7486)*($J$5/50)^0.9753*0.71</f>
        <v>1208.1884287588236</v>
      </c>
      <c r="G17" s="33">
        <f>(-7.3648*($D17*10)^2+365.3792*($D17*10)-116.7486)*($J$5/50)^0.9753*1.224</f>
        <v>2082.8487842264794</v>
      </c>
      <c r="H17" s="30">
        <f>(-7.3648*($D17*10)^2+365.3792*($D17*10)-116.7486)*($J$5/50)^0.9753*1.482</f>
        <v>2521.8806358036295</v>
      </c>
      <c r="I17" s="33">
        <f>(-7.3648*($D17*10)^2+365.3792*($D17*10)-116.7486)*($J$5/50)^0.9753*1.996</f>
        <v>3396.5409912712848</v>
      </c>
      <c r="J17" s="30">
        <f>(-7.3648*($D17*10)^2+365.3792*($D17*10)-116.7486)*($J$5/50)^0.9753*2.516</f>
        <v>4281.4113897988736</v>
      </c>
    </row>
    <row r="18" spans="1:37" x14ac:dyDescent="0.25">
      <c r="B18" s="202"/>
      <c r="C18" s="203"/>
      <c r="D18" s="28">
        <v>0.8</v>
      </c>
      <c r="E18" s="33">
        <f>(-7.3648*($D18*10)^2+365.3792*($D18*10)-116.7486)*($J$5/50)^0.9753*0.41</f>
        <v>581.68797671862706</v>
      </c>
      <c r="F18" s="30">
        <f>(-7.3648*($D18*10)^2+365.3792*($D18*10)-116.7486)*($J$5/50)^0.9753*0.71</f>
        <v>1007.3133255371346</v>
      </c>
      <c r="G18" s="33">
        <f>(-7.3648*($D18*10)^2+365.3792*($D18*10)-116.7486)*($J$5/50)^0.9753*1.224</f>
        <v>1736.5514231795109</v>
      </c>
      <c r="H18" s="30">
        <f>(-7.3648*($D18*10)^2+365.3792*($D18*10)-116.7486)*($J$5/50)^0.9753*1.482</f>
        <v>2102.5892231634275</v>
      </c>
      <c r="I18" s="33">
        <f>(-7.3648*($D18*10)^2+365.3792*($D18*10)-116.7486)*($J$5/50)^0.9753*1.996</f>
        <v>2831.827320805804</v>
      </c>
      <c r="J18" s="30">
        <f>(-7.3648*($D18*10)^2+365.3792*($D18*10)-116.7486)*($J$5/50)^0.9753*2.516</f>
        <v>3569.5779254245504</v>
      </c>
    </row>
    <row r="19" spans="1:37" x14ac:dyDescent="0.25">
      <c r="B19" s="202"/>
      <c r="C19" s="203"/>
      <c r="D19" s="28">
        <v>0.6</v>
      </c>
      <c r="E19" s="33">
        <f>(-7.3648*($D19*10)^2+365.3792*($D19*10)-116.7486)*($J$5/50)^0.9753*0.41</f>
        <v>451.01171713693907</v>
      </c>
      <c r="F19" s="30">
        <f>(-7.3648*($D19*10)^2+365.3792*($D19*10)-116.7486)*($J$5/50)^0.9753*0.71</f>
        <v>781.02029065177248</v>
      </c>
      <c r="G19" s="33">
        <f>(-7.3648*($D19*10)^2+365.3792*($D19*10)-116.7486)*($J$5/50)^0.9753*1.224</f>
        <v>1346.4349799405206</v>
      </c>
      <c r="H19" s="30">
        <f>(-7.3648*($D19*10)^2+365.3792*($D19*10)-116.7486)*($J$5/50)^0.9753*1.482</f>
        <v>1630.2423531632774</v>
      </c>
      <c r="I19" s="33">
        <f>(-7.3648*($D19*10)^2+365.3792*($D19*10)-116.7486)*($J$5/50)^0.9753*1.996</f>
        <v>2195.6570424520255</v>
      </c>
      <c r="J19" s="30">
        <f>(-7.3648*($D19*10)^2+365.3792*($D19*10)-116.7486)*($J$5/50)^0.9753*2.516</f>
        <v>2767.67190321107</v>
      </c>
    </row>
    <row r="20" spans="1:37" x14ac:dyDescent="0.25">
      <c r="B20" s="202"/>
      <c r="C20" s="203"/>
      <c r="D20" s="28">
        <v>0.4</v>
      </c>
      <c r="E20" s="33">
        <f>(-7.3648*($D20*10)^2+365.3792*($D20*10)-116.7486)*($J$5/50)^0.9753*0.41</f>
        <v>305.65749701707364</v>
      </c>
      <c r="F20" s="30">
        <f>(-7.3648*($D20*10)^2+365.3792*($D20*10)-116.7486)*($J$5/50)^0.9753*0.71</f>
        <v>529.30932410273726</v>
      </c>
      <c r="G20" s="33">
        <f>(-7.3648*($D20*10)^2+365.3792*($D20*10)-116.7486)*($J$5/50)^0.9753*1.224</f>
        <v>912.4994545095077</v>
      </c>
      <c r="H20" s="30">
        <f>(-7.3648*($D20*10)^2+365.3792*($D20*10)-116.7486)*($J$5/50)^0.9753*1.482</f>
        <v>1104.8400258031784</v>
      </c>
      <c r="I20" s="33">
        <f>(-7.3648*($D20*10)^2+365.3792*($D20*10)-116.7486)*($J$5/50)^0.9753*1.996</f>
        <v>1488.0301562099487</v>
      </c>
      <c r="J20" s="30">
        <f>(-7.3648*($D20*10)^2+365.3792*($D20*10)-116.7486)*($J$5/50)^0.9753*2.516</f>
        <v>1875.6933231584326</v>
      </c>
    </row>
    <row r="21" spans="1:37" x14ac:dyDescent="0.25">
      <c r="B21" s="202"/>
      <c r="C21" s="203"/>
      <c r="D21" s="28">
        <v>0.2</v>
      </c>
      <c r="E21" s="33">
        <f>(-7.3648*($D21*10)^2+365.3792*($D21*10)-116.7486)*($J$5/50)^0.9753*0.41</f>
        <v>145.62531635903082</v>
      </c>
      <c r="F21" s="31">
        <f>(-7.3648*($D21*10)^2+365.3792*($D21*10)-116.7486)*($J$5/50)^0.9753*0.71</f>
        <v>252.180425890029</v>
      </c>
      <c r="G21" s="33">
        <f>(-7.3648*($D21*10)^2+365.3792*($D21*10)-116.7486)*($J$5/50)^0.9753*1.224</f>
        <v>434.74484688647254</v>
      </c>
      <c r="H21" s="31">
        <f>(-7.3648*($D21*10)^2+365.3792*($D21*10)-116.7486)*($J$5/50)^0.9753*1.482</f>
        <v>526.38224108313091</v>
      </c>
      <c r="I21" s="33">
        <f>(-7.3648*($D21*10)^2+365.3792*($D21*10)-116.7486)*($J$5/50)^0.9753*1.996</f>
        <v>708.94666207957448</v>
      </c>
      <c r="J21" s="31">
        <f>(-7.3648*($D21*10)^2+365.3792*($D21*10)-116.7486)*($J$5/50)^0.9753*2.516</f>
        <v>893.64218526663797</v>
      </c>
    </row>
    <row r="22" spans="1:37" x14ac:dyDescent="0.25">
      <c r="A22" s="34"/>
      <c r="B22" s="204" t="s">
        <v>81</v>
      </c>
      <c r="C22" s="204"/>
      <c r="D22" s="204"/>
      <c r="E22" s="205" t="s">
        <v>37</v>
      </c>
      <c r="F22" s="205"/>
      <c r="G22" s="205"/>
      <c r="H22" s="205"/>
      <c r="I22" s="205"/>
      <c r="J22" s="205"/>
    </row>
    <row r="23" spans="1:37" x14ac:dyDescent="0.25">
      <c r="A23" s="34"/>
      <c r="B23" s="36" t="s">
        <v>82</v>
      </c>
      <c r="C23" s="37" t="s">
        <v>36</v>
      </c>
      <c r="D23" s="38"/>
      <c r="E23" s="39">
        <f t="shared" ref="E23:J23" si="0">E24*230</f>
        <v>16.3</v>
      </c>
      <c r="F23" s="40">
        <f t="shared" si="0"/>
        <v>21.099999999999998</v>
      </c>
      <c r="G23" s="39">
        <f t="shared" si="0"/>
        <v>25.9</v>
      </c>
      <c r="H23" s="40">
        <f t="shared" si="0"/>
        <v>30.7</v>
      </c>
      <c r="I23" s="39">
        <f t="shared" si="0"/>
        <v>35.5</v>
      </c>
      <c r="J23" s="40">
        <f t="shared" si="0"/>
        <v>40.299999999999997</v>
      </c>
    </row>
    <row r="24" spans="1:37" x14ac:dyDescent="0.25">
      <c r="A24" s="34"/>
      <c r="B24" s="36" t="s">
        <v>83</v>
      </c>
      <c r="C24" s="37" t="s">
        <v>36</v>
      </c>
      <c r="D24" s="38"/>
      <c r="E24" s="41">
        <v>7.0869565217391309E-2</v>
      </c>
      <c r="F24" s="42">
        <v>9.1739130434782601E-2</v>
      </c>
      <c r="G24" s="41">
        <v>0.11260869565217391</v>
      </c>
      <c r="H24" s="42">
        <v>0.13347826086956521</v>
      </c>
      <c r="I24" s="41">
        <v>0.15434782608695652</v>
      </c>
      <c r="J24" s="42">
        <v>0.17521739130434782</v>
      </c>
    </row>
    <row r="25" spans="1:37" x14ac:dyDescent="0.25">
      <c r="A25" s="34"/>
      <c r="B25" s="206" t="s">
        <v>84</v>
      </c>
      <c r="C25" s="207" t="s">
        <v>34</v>
      </c>
      <c r="D25" s="38">
        <v>1</v>
      </c>
      <c r="E25" s="29">
        <v>30</v>
      </c>
      <c r="F25" s="30">
        <v>31</v>
      </c>
      <c r="G25" s="29">
        <v>32</v>
      </c>
      <c r="H25" s="30">
        <v>34</v>
      </c>
      <c r="I25" s="29">
        <v>36</v>
      </c>
      <c r="J25" s="30">
        <v>37</v>
      </c>
    </row>
    <row r="26" spans="1:37" x14ac:dyDescent="0.25">
      <c r="A26" s="34"/>
      <c r="B26" s="206"/>
      <c r="C26" s="207"/>
      <c r="D26" s="38">
        <v>0.8</v>
      </c>
      <c r="E26" s="29">
        <v>24</v>
      </c>
      <c r="F26" s="30">
        <v>25.5</v>
      </c>
      <c r="G26" s="29">
        <v>26.5</v>
      </c>
      <c r="H26" s="30">
        <v>27.5</v>
      </c>
      <c r="I26" s="29">
        <v>29.5</v>
      </c>
      <c r="J26" s="30">
        <v>30.5</v>
      </c>
    </row>
    <row r="27" spans="1:37" x14ac:dyDescent="0.25">
      <c r="A27" s="34"/>
      <c r="B27" s="206"/>
      <c r="C27" s="207"/>
      <c r="D27" s="38">
        <v>0.6</v>
      </c>
      <c r="E27" s="29">
        <v>19</v>
      </c>
      <c r="F27" s="30">
        <v>20</v>
      </c>
      <c r="G27" s="29">
        <v>21</v>
      </c>
      <c r="H27" s="30">
        <v>21</v>
      </c>
      <c r="I27" s="29">
        <v>23</v>
      </c>
      <c r="J27" s="30">
        <v>24</v>
      </c>
    </row>
    <row r="28" spans="1:37" x14ac:dyDescent="0.25">
      <c r="A28" s="34"/>
      <c r="B28" s="206"/>
      <c r="C28" s="207"/>
      <c r="D28" s="38">
        <v>0.4</v>
      </c>
      <c r="E28" s="29">
        <v>17</v>
      </c>
      <c r="F28" s="30">
        <v>18</v>
      </c>
      <c r="G28" s="29">
        <v>19</v>
      </c>
      <c r="H28" s="30">
        <v>19</v>
      </c>
      <c r="I28" s="29">
        <v>20</v>
      </c>
      <c r="J28" s="30">
        <v>21</v>
      </c>
    </row>
    <row r="29" spans="1:37" x14ac:dyDescent="0.25">
      <c r="A29" s="34"/>
      <c r="B29" s="206"/>
      <c r="C29" s="207"/>
      <c r="D29" s="38">
        <v>0.2</v>
      </c>
      <c r="E29" s="29" t="s">
        <v>85</v>
      </c>
      <c r="F29" s="31" t="s">
        <v>85</v>
      </c>
      <c r="G29" s="29" t="s">
        <v>85</v>
      </c>
      <c r="H29" s="31" t="s">
        <v>85</v>
      </c>
      <c r="I29" s="29">
        <v>18</v>
      </c>
      <c r="J29" s="31">
        <v>19</v>
      </c>
    </row>
    <row r="30" spans="1:37" x14ac:dyDescent="0.25">
      <c r="A30" s="34"/>
      <c r="B30" s="36" t="s">
        <v>86</v>
      </c>
      <c r="C30" s="37" t="s">
        <v>30</v>
      </c>
      <c r="D30" s="28"/>
      <c r="E30" s="29">
        <f t="shared" ref="E30:J30" si="1">E17/(1.163*($J$2-$J$3))</f>
        <v>59.990221475678204</v>
      </c>
      <c r="F30" s="30">
        <f t="shared" si="1"/>
        <v>103.88550548227202</v>
      </c>
      <c r="G30" s="29">
        <f t="shared" si="1"/>
        <v>179.09275874690277</v>
      </c>
      <c r="H30" s="30">
        <f t="shared" si="1"/>
        <v>216.84270299257346</v>
      </c>
      <c r="I30" s="29">
        <f t="shared" si="1"/>
        <v>292.0499562572042</v>
      </c>
      <c r="J30" s="30">
        <f t="shared" si="1"/>
        <v>368.13511520196676</v>
      </c>
    </row>
    <row r="31" spans="1:37" x14ac:dyDescent="0.25">
      <c r="A31" s="34"/>
      <c r="B31" s="36" t="s">
        <v>87</v>
      </c>
      <c r="C31" s="37" t="s">
        <v>29</v>
      </c>
      <c r="D31" s="28"/>
      <c r="E31" s="29">
        <v>1.2713052552536002</v>
      </c>
      <c r="F31" s="43">
        <v>1.7200012276960472</v>
      </c>
      <c r="G31" s="29">
        <v>2.4678278484334588</v>
      </c>
      <c r="H31" s="43">
        <v>2.841741158802165</v>
      </c>
      <c r="I31" s="29">
        <v>3.6643504416133177</v>
      </c>
      <c r="J31" s="43">
        <v>4.4121770623507297</v>
      </c>
    </row>
    <row r="32" spans="1:37" s="44" customFormat="1" x14ac:dyDescent="0.25">
      <c r="B32" s="45" t="s">
        <v>28</v>
      </c>
      <c r="C32" s="46" t="s">
        <v>27</v>
      </c>
      <c r="D32" s="198">
        <v>2.5</v>
      </c>
      <c r="E32" s="198"/>
      <c r="F32" s="198"/>
      <c r="G32" s="198"/>
      <c r="H32" s="198"/>
      <c r="I32" s="198"/>
      <c r="J32" s="198"/>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row>
    <row r="33" spans="1:46" s="44" customFormat="1" x14ac:dyDescent="0.25">
      <c r="B33" s="197" t="s">
        <v>25</v>
      </c>
      <c r="C33" s="197"/>
      <c r="D33" s="198" t="s">
        <v>61</v>
      </c>
      <c r="E33" s="198"/>
      <c r="F33" s="198"/>
      <c r="G33" s="198"/>
      <c r="H33" s="198"/>
      <c r="I33" s="198"/>
      <c r="J33" s="198"/>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row>
    <row r="34" spans="1:46" s="44" customFormat="1" x14ac:dyDescent="0.25">
      <c r="B34" s="197" t="s">
        <v>24</v>
      </c>
      <c r="C34" s="197"/>
      <c r="D34" s="198" t="s">
        <v>88</v>
      </c>
      <c r="E34" s="198"/>
      <c r="F34" s="198"/>
      <c r="G34" s="198"/>
      <c r="H34" s="198"/>
      <c r="I34" s="198"/>
      <c r="J34" s="198"/>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row>
    <row r="35" spans="1:46" s="44" customFormat="1" x14ac:dyDescent="0.25">
      <c r="B35" s="197" t="s">
        <v>89</v>
      </c>
      <c r="C35" s="197"/>
      <c r="D35" s="210" t="s">
        <v>90</v>
      </c>
      <c r="E35" s="211"/>
      <c r="F35" s="211"/>
      <c r="G35" s="211"/>
      <c r="H35" s="211"/>
      <c r="I35" s="211"/>
      <c r="J35" s="212"/>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row>
    <row r="36" spans="1:46" x14ac:dyDescent="0.25">
      <c r="A36" s="34"/>
      <c r="B36" s="208" t="s">
        <v>59</v>
      </c>
      <c r="C36" s="209"/>
      <c r="D36" s="198" t="s">
        <v>23</v>
      </c>
      <c r="E36" s="198"/>
      <c r="F36" s="198"/>
      <c r="G36" s="198"/>
      <c r="H36" s="198"/>
      <c r="I36" s="198"/>
      <c r="J36" s="198"/>
      <c r="AE36" s="32"/>
      <c r="AF36" s="32"/>
      <c r="AL36" s="32"/>
      <c r="AM36" s="32"/>
      <c r="AN36" s="32"/>
      <c r="AO36" s="32"/>
      <c r="AP36" s="32"/>
      <c r="AQ36" s="32"/>
      <c r="AR36" s="32"/>
      <c r="AS36" s="32"/>
      <c r="AT36" s="32"/>
    </row>
    <row r="37" spans="1:46" x14ac:dyDescent="0.25">
      <c r="A37" s="34"/>
      <c r="B37" s="208" t="s">
        <v>22</v>
      </c>
      <c r="C37" s="209"/>
      <c r="D37" s="198" t="s">
        <v>60</v>
      </c>
      <c r="E37" s="198"/>
      <c r="F37" s="198"/>
      <c r="G37" s="198"/>
      <c r="H37" s="198"/>
      <c r="I37" s="198"/>
      <c r="J37" s="198"/>
      <c r="AE37" s="32"/>
      <c r="AF37" s="32"/>
      <c r="AL37" s="32"/>
      <c r="AM37" s="32"/>
      <c r="AN37" s="32"/>
      <c r="AO37" s="32"/>
      <c r="AP37" s="32"/>
      <c r="AQ37" s="32"/>
      <c r="AR37" s="32"/>
      <c r="AS37" s="32"/>
      <c r="AT37" s="32"/>
    </row>
    <row r="38" spans="1:46" x14ac:dyDescent="0.25">
      <c r="A38" s="34"/>
      <c r="B38" s="35" t="s">
        <v>21</v>
      </c>
      <c r="C38" s="28" t="s">
        <v>11</v>
      </c>
      <c r="D38" s="47"/>
      <c r="E38" s="29"/>
      <c r="F38" s="48"/>
      <c r="G38" s="29"/>
      <c r="H38" s="48"/>
      <c r="I38" s="29"/>
      <c r="J38" s="48"/>
      <c r="AE38" s="32"/>
      <c r="AF38" s="32"/>
      <c r="AL38" s="32"/>
      <c r="AM38" s="32"/>
      <c r="AN38" s="32"/>
      <c r="AO38" s="32"/>
      <c r="AP38" s="32"/>
      <c r="AQ38" s="32"/>
      <c r="AR38" s="32"/>
      <c r="AS38" s="32"/>
      <c r="AT38" s="32"/>
    </row>
    <row r="39" spans="1:46" x14ac:dyDescent="0.25">
      <c r="A39" s="34"/>
      <c r="B39" s="35" t="s">
        <v>12</v>
      </c>
      <c r="C39" s="28" t="s">
        <v>11</v>
      </c>
      <c r="D39" s="47"/>
      <c r="E39" s="29"/>
      <c r="F39" s="48"/>
      <c r="G39" s="29"/>
      <c r="H39" s="48"/>
      <c r="I39" s="29"/>
      <c r="J39" s="48"/>
      <c r="AE39" s="32"/>
      <c r="AF39" s="32"/>
      <c r="AL39" s="32"/>
      <c r="AM39" s="32"/>
      <c r="AN39" s="32"/>
      <c r="AO39" s="32"/>
      <c r="AP39" s="32"/>
      <c r="AQ39" s="32"/>
      <c r="AR39" s="32"/>
      <c r="AS39" s="32"/>
      <c r="AT39" s="32"/>
    </row>
    <row r="40" spans="1:46" x14ac:dyDescent="0.25">
      <c r="A40" s="34"/>
      <c r="B40" s="35" t="s">
        <v>2</v>
      </c>
      <c r="C40" s="28" t="s">
        <v>0</v>
      </c>
      <c r="D40" s="47"/>
      <c r="E40" s="29"/>
      <c r="F40" s="48"/>
      <c r="G40" s="29"/>
      <c r="H40" s="48"/>
      <c r="I40" s="29"/>
      <c r="J40" s="48"/>
      <c r="AE40" s="32"/>
      <c r="AF40" s="32"/>
      <c r="AL40" s="32"/>
      <c r="AM40" s="32"/>
      <c r="AN40" s="32"/>
      <c r="AO40" s="32"/>
      <c r="AP40" s="32"/>
      <c r="AQ40" s="32"/>
      <c r="AR40" s="32"/>
      <c r="AS40" s="32"/>
      <c r="AT40" s="32"/>
    </row>
    <row r="41" spans="1:46" x14ac:dyDescent="0.25">
      <c r="A41" s="34"/>
      <c r="B41" s="35" t="s">
        <v>1</v>
      </c>
      <c r="C41" s="28" t="s">
        <v>0</v>
      </c>
      <c r="D41" s="47"/>
      <c r="E41" s="29"/>
      <c r="F41" s="48"/>
      <c r="G41" s="29"/>
      <c r="H41" s="48"/>
      <c r="I41" s="29"/>
      <c r="J41" s="48"/>
      <c r="AE41" s="32"/>
      <c r="AF41" s="32"/>
      <c r="AL41" s="32"/>
      <c r="AM41" s="32"/>
      <c r="AN41" s="32"/>
      <c r="AO41" s="32"/>
      <c r="AP41" s="32"/>
      <c r="AQ41" s="32"/>
      <c r="AR41" s="32"/>
      <c r="AS41" s="32"/>
      <c r="AT41" s="32"/>
    </row>
    <row r="42" spans="1:46" x14ac:dyDescent="0.25">
      <c r="A42" s="34"/>
      <c r="B42" s="34"/>
      <c r="C42" s="34"/>
      <c r="D42" s="49"/>
      <c r="E42" s="50"/>
      <c r="F42" s="50"/>
      <c r="G42" s="50"/>
      <c r="H42" s="50"/>
      <c r="I42" s="50"/>
      <c r="J42" s="50"/>
      <c r="AE42" s="32"/>
      <c r="AF42" s="32"/>
      <c r="AL42" s="32"/>
      <c r="AM42" s="32"/>
      <c r="AN42" s="32"/>
      <c r="AO42" s="32"/>
      <c r="AP42" s="32"/>
      <c r="AQ42" s="32"/>
      <c r="AR42" s="32"/>
      <c r="AS42" s="32"/>
      <c r="AT42" s="32"/>
    </row>
    <row r="43" spans="1:46" x14ac:dyDescent="0.25">
      <c r="A43" s="34"/>
      <c r="B43" s="34"/>
      <c r="C43" s="34"/>
      <c r="D43" s="49"/>
      <c r="E43" s="50"/>
      <c r="F43" s="50"/>
      <c r="G43" s="50"/>
      <c r="H43" s="50"/>
      <c r="I43" s="50"/>
      <c r="J43" s="50"/>
      <c r="AE43" s="32"/>
      <c r="AF43" s="32"/>
      <c r="AL43" s="32"/>
      <c r="AM43" s="32"/>
      <c r="AN43" s="32"/>
      <c r="AO43" s="32"/>
      <c r="AP43" s="32"/>
      <c r="AQ43" s="32"/>
      <c r="AR43" s="32"/>
      <c r="AS43" s="32"/>
      <c r="AT43" s="32"/>
    </row>
    <row r="44" spans="1:46" x14ac:dyDescent="0.25">
      <c r="A44" s="34"/>
      <c r="B44" s="34"/>
      <c r="C44" s="34"/>
      <c r="D44" s="49"/>
      <c r="E44" s="50"/>
      <c r="F44" s="50"/>
      <c r="G44" s="50"/>
      <c r="H44" s="50"/>
      <c r="I44" s="50"/>
      <c r="J44" s="50"/>
      <c r="AE44" s="32"/>
      <c r="AF44" s="32"/>
      <c r="AL44" s="32"/>
      <c r="AM44" s="32"/>
      <c r="AN44" s="32"/>
      <c r="AO44" s="32"/>
      <c r="AP44" s="32"/>
      <c r="AQ44" s="32"/>
      <c r="AR44" s="32"/>
      <c r="AS44" s="32"/>
      <c r="AT44" s="32"/>
    </row>
    <row r="45" spans="1:46" x14ac:dyDescent="0.25">
      <c r="A45" s="34"/>
      <c r="B45" s="34"/>
      <c r="C45" s="34"/>
      <c r="D45" s="49"/>
      <c r="E45" s="50"/>
      <c r="F45" s="50"/>
      <c r="G45" s="50"/>
      <c r="H45" s="50"/>
      <c r="I45" s="50"/>
      <c r="J45" s="50"/>
      <c r="AE45" s="32"/>
      <c r="AF45" s="32"/>
      <c r="AL45" s="32"/>
      <c r="AM45" s="32"/>
      <c r="AN45" s="32"/>
      <c r="AO45" s="32"/>
      <c r="AP45" s="32"/>
      <c r="AQ45" s="32"/>
      <c r="AR45" s="32"/>
      <c r="AS45" s="32"/>
      <c r="AT45" s="32"/>
    </row>
    <row r="46" spans="1:46" x14ac:dyDescent="0.25">
      <c r="A46" s="34"/>
      <c r="B46" s="34"/>
      <c r="C46" s="34"/>
      <c r="D46" s="49"/>
      <c r="E46" s="50"/>
      <c r="F46" s="50"/>
      <c r="G46" s="50"/>
      <c r="H46" s="50"/>
      <c r="I46" s="50"/>
      <c r="J46" s="50"/>
      <c r="AE46" s="32"/>
      <c r="AF46" s="32"/>
      <c r="AL46" s="32"/>
      <c r="AM46" s="32"/>
      <c r="AN46" s="32"/>
      <c r="AO46" s="32"/>
      <c r="AP46" s="32"/>
      <c r="AQ46" s="32"/>
      <c r="AR46" s="32"/>
      <c r="AS46" s="32"/>
      <c r="AT46" s="32"/>
    </row>
    <row r="47" spans="1:46" x14ac:dyDescent="0.25">
      <c r="A47" s="34"/>
      <c r="B47" s="34"/>
      <c r="C47" s="34"/>
      <c r="D47" s="49"/>
      <c r="E47" s="50"/>
      <c r="F47" s="50"/>
      <c r="G47" s="50"/>
      <c r="H47" s="50"/>
      <c r="I47" s="50"/>
      <c r="J47" s="50"/>
      <c r="AE47" s="32"/>
      <c r="AF47" s="32"/>
      <c r="AL47" s="32"/>
      <c r="AM47" s="32"/>
      <c r="AN47" s="32"/>
      <c r="AO47" s="32"/>
      <c r="AP47" s="32"/>
      <c r="AQ47" s="32"/>
      <c r="AR47" s="32"/>
      <c r="AS47" s="32"/>
      <c r="AT47" s="32"/>
    </row>
    <row r="48" spans="1:46" x14ac:dyDescent="0.25">
      <c r="A48" s="34"/>
      <c r="B48" s="34"/>
      <c r="C48" s="34"/>
      <c r="D48" s="49"/>
      <c r="E48" s="50"/>
      <c r="F48" s="50"/>
      <c r="G48" s="50"/>
      <c r="H48" s="50"/>
      <c r="I48" s="50"/>
      <c r="J48" s="50"/>
      <c r="AE48" s="32"/>
      <c r="AF48" s="32"/>
      <c r="AL48" s="32"/>
      <c r="AM48" s="32"/>
      <c r="AN48" s="32"/>
      <c r="AO48" s="32"/>
      <c r="AP48" s="32"/>
      <c r="AQ48" s="32"/>
      <c r="AR48" s="32"/>
      <c r="AS48" s="32"/>
      <c r="AT48" s="32"/>
    </row>
    <row r="49" spans="1:46" x14ac:dyDescent="0.25">
      <c r="A49" s="34"/>
      <c r="B49" s="34"/>
      <c r="C49" s="34"/>
      <c r="D49" s="49"/>
      <c r="E49" s="50"/>
      <c r="F49" s="50"/>
      <c r="G49" s="50"/>
      <c r="H49" s="50"/>
      <c r="I49" s="50"/>
      <c r="J49" s="50"/>
      <c r="AE49" s="32"/>
      <c r="AF49" s="32"/>
      <c r="AL49" s="32"/>
      <c r="AM49" s="32"/>
      <c r="AN49" s="32"/>
      <c r="AO49" s="32"/>
      <c r="AP49" s="32"/>
      <c r="AQ49" s="32"/>
      <c r="AR49" s="32"/>
      <c r="AS49" s="32"/>
      <c r="AT49" s="32"/>
    </row>
    <row r="50" spans="1:46" x14ac:dyDescent="0.25">
      <c r="A50" s="34"/>
      <c r="B50" s="34"/>
      <c r="C50" s="34"/>
      <c r="D50" s="49"/>
      <c r="E50" s="50"/>
      <c r="F50" s="50"/>
      <c r="G50" s="50"/>
      <c r="H50" s="50"/>
      <c r="I50" s="50"/>
      <c r="J50" s="50"/>
      <c r="AE50" s="32"/>
      <c r="AF50" s="32"/>
      <c r="AL50" s="32"/>
      <c r="AM50" s="32"/>
      <c r="AN50" s="32"/>
      <c r="AO50" s="32"/>
      <c r="AP50" s="32"/>
      <c r="AQ50" s="32"/>
      <c r="AR50" s="32"/>
      <c r="AS50" s="32"/>
      <c r="AT50" s="32"/>
    </row>
    <row r="51" spans="1:46" x14ac:dyDescent="0.25">
      <c r="A51" s="34"/>
      <c r="B51" s="34"/>
      <c r="C51" s="34"/>
      <c r="D51" s="49"/>
      <c r="E51" s="50"/>
      <c r="F51" s="50"/>
      <c r="G51" s="50"/>
      <c r="H51" s="50"/>
      <c r="I51" s="50"/>
      <c r="J51" s="50"/>
      <c r="AE51" s="32"/>
      <c r="AF51" s="32"/>
      <c r="AL51" s="32"/>
      <c r="AM51" s="32"/>
      <c r="AN51" s="32"/>
      <c r="AO51" s="32"/>
      <c r="AP51" s="32"/>
      <c r="AQ51" s="32"/>
      <c r="AR51" s="32"/>
      <c r="AS51" s="32"/>
      <c r="AT51" s="32"/>
    </row>
    <row r="52" spans="1:46" x14ac:dyDescent="0.25">
      <c r="A52" s="34"/>
      <c r="B52" s="34"/>
      <c r="C52" s="34"/>
      <c r="D52" s="49"/>
      <c r="E52" s="50"/>
      <c r="F52" s="50"/>
      <c r="G52" s="50"/>
      <c r="H52" s="50"/>
      <c r="I52" s="50"/>
      <c r="J52" s="50"/>
      <c r="AE52" s="32"/>
      <c r="AF52" s="32"/>
      <c r="AL52" s="32"/>
      <c r="AM52" s="32"/>
      <c r="AN52" s="32"/>
      <c r="AO52" s="32"/>
      <c r="AP52" s="32"/>
      <c r="AQ52" s="32"/>
      <c r="AR52" s="32"/>
      <c r="AS52" s="32"/>
      <c r="AT52" s="32"/>
    </row>
    <row r="53" spans="1:46" x14ac:dyDescent="0.25">
      <c r="A53" s="34"/>
      <c r="B53" s="34"/>
      <c r="C53" s="34"/>
      <c r="D53" s="49"/>
      <c r="E53" s="50"/>
      <c r="F53" s="50"/>
      <c r="G53" s="50"/>
      <c r="H53" s="50"/>
      <c r="I53" s="50"/>
      <c r="J53" s="50"/>
      <c r="AE53" s="32"/>
      <c r="AF53" s="32"/>
      <c r="AL53" s="32"/>
      <c r="AM53" s="32"/>
      <c r="AN53" s="32"/>
      <c r="AO53" s="32"/>
      <c r="AP53" s="32"/>
      <c r="AQ53" s="32"/>
      <c r="AR53" s="32"/>
      <c r="AS53" s="32"/>
      <c r="AT53" s="32"/>
    </row>
    <row r="54" spans="1:46" x14ac:dyDescent="0.25">
      <c r="A54" s="34"/>
      <c r="B54" s="34"/>
      <c r="C54" s="34"/>
      <c r="D54" s="49"/>
      <c r="E54" s="50"/>
      <c r="F54" s="50"/>
      <c r="G54" s="50"/>
      <c r="H54" s="50"/>
      <c r="I54" s="50"/>
      <c r="J54" s="50"/>
      <c r="AE54" s="32"/>
      <c r="AF54" s="32"/>
      <c r="AL54" s="32"/>
      <c r="AM54" s="32"/>
      <c r="AN54" s="32"/>
      <c r="AO54" s="32"/>
      <c r="AP54" s="32"/>
      <c r="AQ54" s="32"/>
      <c r="AR54" s="32"/>
      <c r="AS54" s="32"/>
      <c r="AT54" s="32"/>
    </row>
    <row r="55" spans="1:46" x14ac:dyDescent="0.25">
      <c r="A55" s="34"/>
      <c r="B55" s="34"/>
      <c r="C55" s="34"/>
      <c r="D55" s="49"/>
      <c r="E55" s="50"/>
      <c r="F55" s="50"/>
      <c r="G55" s="50"/>
      <c r="H55" s="50"/>
      <c r="I55" s="50"/>
      <c r="J55" s="50"/>
      <c r="AE55" s="32"/>
      <c r="AF55" s="32"/>
      <c r="AL55" s="32"/>
      <c r="AM55" s="32"/>
      <c r="AN55" s="32"/>
      <c r="AO55" s="32"/>
      <c r="AP55" s="32"/>
      <c r="AQ55" s="32"/>
      <c r="AR55" s="32"/>
      <c r="AS55" s="32"/>
      <c r="AT55" s="32"/>
    </row>
    <row r="56" spans="1:46" x14ac:dyDescent="0.25">
      <c r="A56" s="34"/>
      <c r="B56" s="34"/>
      <c r="C56" s="34"/>
      <c r="D56" s="49"/>
      <c r="E56" s="50"/>
      <c r="F56" s="50"/>
      <c r="G56" s="50"/>
      <c r="H56" s="50"/>
      <c r="I56" s="50"/>
      <c r="J56" s="50"/>
      <c r="AE56" s="32"/>
      <c r="AF56" s="32"/>
      <c r="AL56" s="32"/>
      <c r="AM56" s="32"/>
      <c r="AN56" s="32"/>
      <c r="AO56" s="32"/>
      <c r="AP56" s="32"/>
      <c r="AQ56" s="32"/>
      <c r="AR56" s="32"/>
      <c r="AS56" s="32"/>
      <c r="AT56" s="32"/>
    </row>
    <row r="57" spans="1:46" x14ac:dyDescent="0.25">
      <c r="A57" s="34"/>
      <c r="B57" s="34"/>
      <c r="C57" s="34"/>
      <c r="D57" s="49"/>
      <c r="E57" s="50"/>
      <c r="F57" s="50"/>
      <c r="G57" s="50"/>
      <c r="H57" s="50"/>
      <c r="I57" s="50"/>
      <c r="J57" s="50"/>
      <c r="AE57" s="32"/>
      <c r="AF57" s="32"/>
      <c r="AL57" s="32"/>
      <c r="AM57" s="32"/>
      <c r="AN57" s="32"/>
      <c r="AO57" s="32"/>
      <c r="AP57" s="32"/>
      <c r="AQ57" s="32"/>
      <c r="AR57" s="32"/>
      <c r="AS57" s="32"/>
      <c r="AT57" s="32"/>
    </row>
    <row r="58" spans="1:46" x14ac:dyDescent="0.25">
      <c r="A58" s="34"/>
      <c r="B58" s="34"/>
      <c r="C58" s="34"/>
      <c r="D58" s="49"/>
      <c r="E58" s="50"/>
      <c r="F58" s="50"/>
      <c r="G58" s="50"/>
      <c r="H58" s="50"/>
      <c r="I58" s="50"/>
      <c r="J58" s="50"/>
      <c r="AE58" s="32"/>
      <c r="AF58" s="32"/>
      <c r="AL58" s="32"/>
      <c r="AM58" s="32"/>
      <c r="AN58" s="32"/>
      <c r="AO58" s="32"/>
      <c r="AP58" s="32"/>
      <c r="AQ58" s="32"/>
      <c r="AR58" s="32"/>
      <c r="AS58" s="32"/>
      <c r="AT58" s="32"/>
    </row>
    <row r="59" spans="1:46" x14ac:dyDescent="0.25">
      <c r="A59" s="34"/>
      <c r="B59" s="34"/>
      <c r="C59" s="34"/>
      <c r="D59" s="49"/>
      <c r="E59" s="50"/>
      <c r="F59" s="50"/>
      <c r="G59" s="50"/>
      <c r="H59" s="50"/>
      <c r="I59" s="50"/>
      <c r="J59" s="50"/>
      <c r="AE59" s="32"/>
      <c r="AF59" s="32"/>
      <c r="AL59" s="32"/>
      <c r="AM59" s="32"/>
      <c r="AN59" s="32"/>
      <c r="AO59" s="32"/>
      <c r="AP59" s="32"/>
      <c r="AQ59" s="32"/>
      <c r="AR59" s="32"/>
      <c r="AS59" s="32"/>
      <c r="AT59" s="32"/>
    </row>
    <row r="60" spans="1:46" x14ac:dyDescent="0.25">
      <c r="A60" s="34"/>
      <c r="B60" s="34"/>
      <c r="C60" s="34"/>
      <c r="D60" s="49"/>
      <c r="E60" s="50"/>
      <c r="F60" s="50"/>
      <c r="G60" s="50"/>
      <c r="H60" s="50"/>
      <c r="I60" s="50"/>
      <c r="J60" s="50"/>
      <c r="AE60" s="32"/>
      <c r="AF60" s="32"/>
      <c r="AL60" s="32"/>
      <c r="AM60" s="32"/>
      <c r="AN60" s="32"/>
      <c r="AO60" s="32"/>
      <c r="AP60" s="32"/>
      <c r="AQ60" s="32"/>
      <c r="AR60" s="32"/>
      <c r="AS60" s="32"/>
      <c r="AT60" s="32"/>
    </row>
    <row r="61" spans="1:46" x14ac:dyDescent="0.25">
      <c r="A61" s="34"/>
      <c r="B61" s="34"/>
      <c r="C61" s="34"/>
      <c r="D61" s="49"/>
      <c r="E61" s="50"/>
      <c r="F61" s="50"/>
      <c r="G61" s="50"/>
      <c r="H61" s="50"/>
      <c r="I61" s="50"/>
      <c r="J61" s="50"/>
      <c r="AE61" s="32"/>
      <c r="AF61" s="32"/>
      <c r="AL61" s="32"/>
      <c r="AM61" s="32"/>
      <c r="AN61" s="32"/>
      <c r="AO61" s="32"/>
      <c r="AP61" s="32"/>
      <c r="AQ61" s="32"/>
      <c r="AR61" s="32"/>
      <c r="AS61" s="32"/>
      <c r="AT61" s="32"/>
    </row>
    <row r="62" spans="1:46" x14ac:dyDescent="0.25">
      <c r="A62" s="34"/>
      <c r="B62" s="34"/>
      <c r="C62" s="34"/>
      <c r="D62" s="49"/>
      <c r="E62" s="50"/>
      <c r="F62" s="50"/>
      <c r="G62" s="50"/>
      <c r="H62" s="50"/>
      <c r="I62" s="50"/>
      <c r="J62" s="50"/>
      <c r="AE62" s="32"/>
      <c r="AF62" s="32"/>
      <c r="AL62" s="32"/>
      <c r="AM62" s="32"/>
      <c r="AN62" s="32"/>
      <c r="AO62" s="32"/>
      <c r="AP62" s="32"/>
      <c r="AQ62" s="32"/>
      <c r="AR62" s="32"/>
      <c r="AS62" s="32"/>
      <c r="AT62" s="32"/>
    </row>
    <row r="63" spans="1:46" x14ac:dyDescent="0.25">
      <c r="A63" s="34"/>
      <c r="B63" s="34"/>
      <c r="C63" s="34"/>
      <c r="D63" s="49"/>
      <c r="E63" s="50"/>
      <c r="F63" s="50"/>
      <c r="G63" s="50"/>
      <c r="H63" s="50"/>
      <c r="I63" s="50"/>
      <c r="J63" s="50"/>
      <c r="AE63" s="32"/>
      <c r="AF63" s="32"/>
      <c r="AL63" s="32"/>
      <c r="AM63" s="32"/>
      <c r="AN63" s="32"/>
      <c r="AO63" s="32"/>
      <c r="AP63" s="32"/>
      <c r="AQ63" s="32"/>
      <c r="AR63" s="32"/>
      <c r="AS63" s="32"/>
      <c r="AT63" s="32"/>
    </row>
    <row r="64" spans="1:46" x14ac:dyDescent="0.25">
      <c r="A64" s="34"/>
      <c r="B64" s="34"/>
      <c r="C64" s="34"/>
      <c r="D64" s="49"/>
      <c r="E64" s="50"/>
      <c r="F64" s="50"/>
      <c r="G64" s="50"/>
      <c r="H64" s="50"/>
      <c r="I64" s="50"/>
      <c r="J64" s="50"/>
      <c r="AE64" s="32"/>
      <c r="AF64" s="32"/>
      <c r="AL64" s="32"/>
      <c r="AM64" s="32"/>
      <c r="AN64" s="32"/>
      <c r="AO64" s="32"/>
      <c r="AP64" s="32"/>
      <c r="AQ64" s="32"/>
      <c r="AR64" s="32"/>
      <c r="AS64" s="32"/>
      <c r="AT64" s="32"/>
    </row>
    <row r="65" spans="1:46" x14ac:dyDescent="0.25">
      <c r="A65" s="34"/>
      <c r="B65" s="34"/>
      <c r="C65" s="34"/>
      <c r="D65" s="49"/>
      <c r="E65" s="50"/>
      <c r="F65" s="50"/>
      <c r="G65" s="50"/>
      <c r="H65" s="50"/>
      <c r="I65" s="50"/>
      <c r="J65" s="50"/>
      <c r="AE65" s="32"/>
      <c r="AF65" s="32"/>
      <c r="AL65" s="32"/>
      <c r="AM65" s="32"/>
      <c r="AN65" s="32"/>
      <c r="AO65" s="32"/>
      <c r="AP65" s="32"/>
      <c r="AQ65" s="32"/>
      <c r="AR65" s="32"/>
      <c r="AS65" s="32"/>
      <c r="AT65" s="32"/>
    </row>
    <row r="66" spans="1:46" x14ac:dyDescent="0.25">
      <c r="A66" s="34"/>
      <c r="B66" s="34"/>
      <c r="C66" s="34"/>
      <c r="D66" s="49"/>
      <c r="E66" s="50"/>
      <c r="F66" s="50"/>
      <c r="G66" s="50"/>
      <c r="H66" s="50"/>
      <c r="I66" s="50"/>
      <c r="J66" s="50"/>
      <c r="AE66" s="32"/>
      <c r="AF66" s="32"/>
      <c r="AL66" s="32"/>
      <c r="AM66" s="32"/>
      <c r="AN66" s="32"/>
      <c r="AO66" s="32"/>
      <c r="AP66" s="32"/>
      <c r="AQ66" s="32"/>
      <c r="AR66" s="32"/>
      <c r="AS66" s="32"/>
      <c r="AT66" s="32"/>
    </row>
    <row r="67" spans="1:46" x14ac:dyDescent="0.25">
      <c r="A67" s="34"/>
      <c r="B67" s="34"/>
      <c r="C67" s="34"/>
      <c r="AF67" s="32"/>
      <c r="AL67" s="32"/>
      <c r="AM67" s="32"/>
      <c r="AN67" s="32"/>
      <c r="AO67" s="32"/>
      <c r="AP67" s="32"/>
      <c r="AQ67" s="32"/>
      <c r="AR67" s="32"/>
      <c r="AS67" s="32"/>
      <c r="AT67" s="32"/>
    </row>
    <row r="68" spans="1:46" x14ac:dyDescent="0.25">
      <c r="A68" s="34"/>
      <c r="B68" s="34"/>
      <c r="C68" s="34"/>
      <c r="AF68" s="32"/>
      <c r="AL68" s="32"/>
      <c r="AM68" s="32"/>
      <c r="AN68" s="32"/>
      <c r="AO68" s="32"/>
      <c r="AP68" s="32"/>
      <c r="AQ68" s="32"/>
      <c r="AR68" s="32"/>
      <c r="AS68" s="32"/>
      <c r="AT68" s="32"/>
    </row>
    <row r="69" spans="1:46" x14ac:dyDescent="0.25">
      <c r="A69" s="34"/>
      <c r="B69" s="34"/>
      <c r="C69" s="34"/>
      <c r="D69" s="51"/>
      <c r="E69" s="15"/>
      <c r="F69" s="15"/>
      <c r="G69" s="15"/>
      <c r="H69" s="15"/>
      <c r="I69" s="15"/>
      <c r="J69" s="15"/>
      <c r="K69" s="32"/>
      <c r="L69" s="32"/>
      <c r="M69" s="32"/>
      <c r="N69" s="32"/>
      <c r="O69" s="32"/>
      <c r="P69" s="32"/>
      <c r="Q69" s="32"/>
      <c r="R69" s="32"/>
      <c r="S69" s="32"/>
      <c r="T69" s="32"/>
      <c r="U69" s="32"/>
      <c r="V69" s="32"/>
      <c r="W69" s="32"/>
      <c r="X69" s="32"/>
      <c r="Y69" s="32"/>
      <c r="Z69" s="32"/>
      <c r="AA69" s="32"/>
      <c r="AB69" s="32"/>
      <c r="AC69" s="32"/>
      <c r="AD69" s="32"/>
      <c r="AE69" s="32"/>
      <c r="AF69" s="32"/>
      <c r="AL69" s="32"/>
      <c r="AM69" s="32"/>
      <c r="AN69" s="32"/>
      <c r="AO69" s="32"/>
      <c r="AP69" s="32"/>
      <c r="AQ69" s="32"/>
      <c r="AR69" s="32"/>
      <c r="AS69" s="32"/>
      <c r="AT69" s="32"/>
    </row>
    <row r="70" spans="1:46" x14ac:dyDescent="0.25">
      <c r="A70" s="34"/>
      <c r="B70" s="34"/>
      <c r="C70" s="34"/>
      <c r="D70" s="51"/>
      <c r="E70" s="15"/>
      <c r="F70" s="15"/>
      <c r="G70" s="15"/>
      <c r="H70" s="15"/>
      <c r="I70" s="15"/>
      <c r="J70" s="15"/>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row>
    <row r="71" spans="1:46" x14ac:dyDescent="0.25">
      <c r="A71" s="34"/>
      <c r="B71" s="34"/>
      <c r="C71" s="34"/>
      <c r="D71" s="51"/>
      <c r="E71" s="15"/>
      <c r="F71" s="15"/>
      <c r="G71" s="15"/>
      <c r="H71" s="15"/>
      <c r="I71" s="15"/>
      <c r="J71" s="15"/>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row>
    <row r="72" spans="1:46" x14ac:dyDescent="0.25">
      <c r="A72" s="34"/>
      <c r="B72" s="34"/>
      <c r="C72" s="34"/>
      <c r="D72" s="23"/>
      <c r="E72" s="9"/>
      <c r="F72" s="9"/>
      <c r="G72" s="9"/>
      <c r="H72" s="9"/>
      <c r="I72" s="9"/>
      <c r="J72" s="9"/>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K72" s="52"/>
      <c r="AL72" s="53"/>
    </row>
    <row r="73" spans="1:46" x14ac:dyDescent="0.25">
      <c r="A73" s="34"/>
      <c r="B73" s="34"/>
      <c r="C73" s="34"/>
      <c r="F73" s="54"/>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K73" s="52"/>
      <c r="AL73" s="53"/>
    </row>
    <row r="74" spans="1:46" x14ac:dyDescent="0.4">
      <c r="A74" s="34"/>
      <c r="B74" s="34"/>
      <c r="C74" s="34"/>
      <c r="D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row>
    <row r="75" spans="1:46" x14ac:dyDescent="0.4">
      <c r="A75" s="34"/>
      <c r="B75" s="34"/>
      <c r="C75" s="34"/>
      <c r="D75" s="8"/>
      <c r="E75" s="55"/>
      <c r="F75" s="55"/>
      <c r="H75" s="55"/>
      <c r="I75" s="55"/>
      <c r="J75" s="55"/>
      <c r="K75" s="8"/>
      <c r="L75" s="8"/>
      <c r="M75" s="8"/>
      <c r="N75" s="8"/>
      <c r="O75" s="8"/>
      <c r="P75" s="8"/>
      <c r="Q75" s="8"/>
      <c r="R75" s="8"/>
      <c r="S75" s="8"/>
      <c r="T75" s="8"/>
      <c r="U75" s="8"/>
      <c r="V75" s="8"/>
      <c r="W75" s="8"/>
      <c r="X75" s="8"/>
      <c r="Y75" s="8"/>
      <c r="Z75" s="8"/>
      <c r="AA75" s="8"/>
      <c r="AB75" s="8"/>
      <c r="AC75" s="8"/>
      <c r="AD75" s="8"/>
      <c r="AE75" s="56"/>
      <c r="AF75" s="56"/>
      <c r="AG75" s="57"/>
      <c r="AH75" s="8"/>
      <c r="AI75" s="55"/>
      <c r="AJ75" s="55"/>
      <c r="AK75" s="55"/>
      <c r="AL75" s="55"/>
      <c r="AM75" s="55"/>
    </row>
    <row r="76" spans="1:46" x14ac:dyDescent="0.25">
      <c r="A76" s="34"/>
      <c r="B76" s="34"/>
      <c r="C76" s="34"/>
      <c r="D76" s="34"/>
      <c r="E76" s="34"/>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58"/>
      <c r="AF76" s="58"/>
      <c r="AG76" s="32"/>
      <c r="AH76" s="32"/>
      <c r="AI76" s="32"/>
    </row>
  </sheetData>
  <sheetProtection formatCells="0" formatColumns="0" formatRows="0" insertColumns="0" insertRows="0" insertHyperlinks="0" deleteColumns="0" deleteRows="0" sort="0" autoFilter="0" pivotTables="0"/>
  <mergeCells count="22">
    <mergeCell ref="B37:C37"/>
    <mergeCell ref="D37:J37"/>
    <mergeCell ref="B34:C34"/>
    <mergeCell ref="D34:J34"/>
    <mergeCell ref="B35:C35"/>
    <mergeCell ref="D35:J35"/>
    <mergeCell ref="B36:C36"/>
    <mergeCell ref="D36:J36"/>
    <mergeCell ref="B33:C33"/>
    <mergeCell ref="D33:J33"/>
    <mergeCell ref="C6:G6"/>
    <mergeCell ref="C7:G7"/>
    <mergeCell ref="B11:D11"/>
    <mergeCell ref="B12:B16"/>
    <mergeCell ref="C12:C16"/>
    <mergeCell ref="B17:B21"/>
    <mergeCell ref="C17:C21"/>
    <mergeCell ref="B22:D22"/>
    <mergeCell ref="E22:J22"/>
    <mergeCell ref="B25:B29"/>
    <mergeCell ref="C25:C29"/>
    <mergeCell ref="D32:J32"/>
  </mergeCells>
  <conditionalFormatting sqref="E17:J21">
    <cfRule type="cellIs" dxfId="11" priority="1" stopIfTrue="1" operator="between">
      <formula>$AF$8</formula>
      <formula>$AF$9</formula>
    </cfRule>
  </conditionalFormatting>
  <dataValidations count="1">
    <dataValidation type="list" allowBlank="1" showInputMessage="1" showErrorMessage="1" sqref="G65179 H10 WWI982691 WMM982691 WCQ982691 VSU982691 VIY982691 UZC982691 UPG982691 UFK982691 TVO982691 TLS982691 TBW982691 SSA982691 SIE982691 RYI982691 ROM982691 REQ982691 QUU982691 QKY982691 QBC982691 PRG982691 PHK982691 OXO982691 ONS982691 ODW982691 NUA982691 NKE982691 NAI982691 MQM982691 MGQ982691 LWU982691 LMY982691 LDC982691 KTG982691 KJK982691 JZO982691 JPS982691 JFW982691 IWA982691 IME982691 ICI982691 HSM982691 HIQ982691 GYU982691 GOY982691 GFC982691 FVG982691 FLK982691 FBO982691 ERS982691 EHW982691 DYA982691 DOE982691 DEI982691 CUM982691 CKQ982691 CAU982691 BQY982691 BHC982691 AXG982691 ANK982691 ADO982691 TS982691 JW982691 G982683 WWI917155 WMM917155 WCQ917155 VSU917155 VIY917155 UZC917155 UPG917155 UFK917155 TVO917155 TLS917155 TBW917155 SSA917155 SIE917155 RYI917155 ROM917155 REQ917155 QUU917155 QKY917155 QBC917155 PRG917155 PHK917155 OXO917155 ONS917155 ODW917155 NUA917155 NKE917155 NAI917155 MQM917155 MGQ917155 LWU917155 LMY917155 LDC917155 KTG917155 KJK917155 JZO917155 JPS917155 JFW917155 IWA917155 IME917155 ICI917155 HSM917155 HIQ917155 GYU917155 GOY917155 GFC917155 FVG917155 FLK917155 FBO917155 ERS917155 EHW917155 DYA917155 DOE917155 DEI917155 CUM917155 CKQ917155 CAU917155 BQY917155 BHC917155 AXG917155 ANK917155 ADO917155 TS917155 JW917155 G917147 WWI851619 WMM851619 WCQ851619 VSU851619 VIY851619 UZC851619 UPG851619 UFK851619 TVO851619 TLS851619 TBW851619 SSA851619 SIE851619 RYI851619 ROM851619 REQ851619 QUU851619 QKY851619 QBC851619 PRG851619 PHK851619 OXO851619 ONS851619 ODW851619 NUA851619 NKE851619 NAI851619 MQM851619 MGQ851619 LWU851619 LMY851619 LDC851619 KTG851619 KJK851619 JZO851619 JPS851619 JFW851619 IWA851619 IME851619 ICI851619 HSM851619 HIQ851619 GYU851619 GOY851619 GFC851619 FVG851619 FLK851619 FBO851619 ERS851619 EHW851619 DYA851619 DOE851619 DEI851619 CUM851619 CKQ851619 CAU851619 BQY851619 BHC851619 AXG851619 ANK851619 ADO851619 TS851619 JW851619 G851611 WWI786083 WMM786083 WCQ786083 VSU786083 VIY786083 UZC786083 UPG786083 UFK786083 TVO786083 TLS786083 TBW786083 SSA786083 SIE786083 RYI786083 ROM786083 REQ786083 QUU786083 QKY786083 QBC786083 PRG786083 PHK786083 OXO786083 ONS786083 ODW786083 NUA786083 NKE786083 NAI786083 MQM786083 MGQ786083 LWU786083 LMY786083 LDC786083 KTG786083 KJK786083 JZO786083 JPS786083 JFW786083 IWA786083 IME786083 ICI786083 HSM786083 HIQ786083 GYU786083 GOY786083 GFC786083 FVG786083 FLK786083 FBO786083 ERS786083 EHW786083 DYA786083 DOE786083 DEI786083 CUM786083 CKQ786083 CAU786083 BQY786083 BHC786083 AXG786083 ANK786083 ADO786083 TS786083 JW786083 G786075 WWI720547 WMM720547 WCQ720547 VSU720547 VIY720547 UZC720547 UPG720547 UFK720547 TVO720547 TLS720547 TBW720547 SSA720547 SIE720547 RYI720547 ROM720547 REQ720547 QUU720547 QKY720547 QBC720547 PRG720547 PHK720547 OXO720547 ONS720547 ODW720547 NUA720547 NKE720547 NAI720547 MQM720547 MGQ720547 LWU720547 LMY720547 LDC720547 KTG720547 KJK720547 JZO720547 JPS720547 JFW720547 IWA720547 IME720547 ICI720547 HSM720547 HIQ720547 GYU720547 GOY720547 GFC720547 FVG720547 FLK720547 FBO720547 ERS720547 EHW720547 DYA720547 DOE720547 DEI720547 CUM720547 CKQ720547 CAU720547 BQY720547 BHC720547 AXG720547 ANK720547 ADO720547 TS720547 JW720547 G720539 WWI655011 WMM655011 WCQ655011 VSU655011 VIY655011 UZC655011 UPG655011 UFK655011 TVO655011 TLS655011 TBW655011 SSA655011 SIE655011 RYI655011 ROM655011 REQ655011 QUU655011 QKY655011 QBC655011 PRG655011 PHK655011 OXO655011 ONS655011 ODW655011 NUA655011 NKE655011 NAI655011 MQM655011 MGQ655011 LWU655011 LMY655011 LDC655011 KTG655011 KJK655011 JZO655011 JPS655011 JFW655011 IWA655011 IME655011 ICI655011 HSM655011 HIQ655011 GYU655011 GOY655011 GFC655011 FVG655011 FLK655011 FBO655011 ERS655011 EHW655011 DYA655011 DOE655011 DEI655011 CUM655011 CKQ655011 CAU655011 BQY655011 BHC655011 AXG655011 ANK655011 ADO655011 TS655011 JW655011 G655003 WWI589475 WMM589475 WCQ589475 VSU589475 VIY589475 UZC589475 UPG589475 UFK589475 TVO589475 TLS589475 TBW589475 SSA589475 SIE589475 RYI589475 ROM589475 REQ589475 QUU589475 QKY589475 QBC589475 PRG589475 PHK589475 OXO589475 ONS589475 ODW589475 NUA589475 NKE589475 NAI589475 MQM589475 MGQ589475 LWU589475 LMY589475 LDC589475 KTG589475 KJK589475 JZO589475 JPS589475 JFW589475 IWA589475 IME589475 ICI589475 HSM589475 HIQ589475 GYU589475 GOY589475 GFC589475 FVG589475 FLK589475 FBO589475 ERS589475 EHW589475 DYA589475 DOE589475 DEI589475 CUM589475 CKQ589475 CAU589475 BQY589475 BHC589475 AXG589475 ANK589475 ADO589475 TS589475 JW589475 G589467 WWI523939 WMM523939 WCQ523939 VSU523939 VIY523939 UZC523939 UPG523939 UFK523939 TVO523939 TLS523939 TBW523939 SSA523939 SIE523939 RYI523939 ROM523939 REQ523939 QUU523939 QKY523939 QBC523939 PRG523939 PHK523939 OXO523939 ONS523939 ODW523939 NUA523939 NKE523939 NAI523939 MQM523939 MGQ523939 LWU523939 LMY523939 LDC523939 KTG523939 KJK523939 JZO523939 JPS523939 JFW523939 IWA523939 IME523939 ICI523939 HSM523939 HIQ523939 GYU523939 GOY523939 GFC523939 FVG523939 FLK523939 FBO523939 ERS523939 EHW523939 DYA523939 DOE523939 DEI523939 CUM523939 CKQ523939 CAU523939 BQY523939 BHC523939 AXG523939 ANK523939 ADO523939 TS523939 JW523939 G523931 WWI458403 WMM458403 WCQ458403 VSU458403 VIY458403 UZC458403 UPG458403 UFK458403 TVO458403 TLS458403 TBW458403 SSA458403 SIE458403 RYI458403 ROM458403 REQ458403 QUU458403 QKY458403 QBC458403 PRG458403 PHK458403 OXO458403 ONS458403 ODW458403 NUA458403 NKE458403 NAI458403 MQM458403 MGQ458403 LWU458403 LMY458403 LDC458403 KTG458403 KJK458403 JZO458403 JPS458403 JFW458403 IWA458403 IME458403 ICI458403 HSM458403 HIQ458403 GYU458403 GOY458403 GFC458403 FVG458403 FLK458403 FBO458403 ERS458403 EHW458403 DYA458403 DOE458403 DEI458403 CUM458403 CKQ458403 CAU458403 BQY458403 BHC458403 AXG458403 ANK458403 ADO458403 TS458403 JW458403 G458395 WWI392867 WMM392867 WCQ392867 VSU392867 VIY392867 UZC392867 UPG392867 UFK392867 TVO392867 TLS392867 TBW392867 SSA392867 SIE392867 RYI392867 ROM392867 REQ392867 QUU392867 QKY392867 QBC392867 PRG392867 PHK392867 OXO392867 ONS392867 ODW392867 NUA392867 NKE392867 NAI392867 MQM392867 MGQ392867 LWU392867 LMY392867 LDC392867 KTG392867 KJK392867 JZO392867 JPS392867 JFW392867 IWA392867 IME392867 ICI392867 HSM392867 HIQ392867 GYU392867 GOY392867 GFC392867 FVG392867 FLK392867 FBO392867 ERS392867 EHW392867 DYA392867 DOE392867 DEI392867 CUM392867 CKQ392867 CAU392867 BQY392867 BHC392867 AXG392867 ANK392867 ADO392867 TS392867 JW392867 G392859 WWI327331 WMM327331 WCQ327331 VSU327331 VIY327331 UZC327331 UPG327331 UFK327331 TVO327331 TLS327331 TBW327331 SSA327331 SIE327331 RYI327331 ROM327331 REQ327331 QUU327331 QKY327331 QBC327331 PRG327331 PHK327331 OXO327331 ONS327331 ODW327331 NUA327331 NKE327331 NAI327331 MQM327331 MGQ327331 LWU327331 LMY327331 LDC327331 KTG327331 KJK327331 JZO327331 JPS327331 JFW327331 IWA327331 IME327331 ICI327331 HSM327331 HIQ327331 GYU327331 GOY327331 GFC327331 FVG327331 FLK327331 FBO327331 ERS327331 EHW327331 DYA327331 DOE327331 DEI327331 CUM327331 CKQ327331 CAU327331 BQY327331 BHC327331 AXG327331 ANK327331 ADO327331 TS327331 JW327331 G327323 WWI261795 WMM261795 WCQ261795 VSU261795 VIY261795 UZC261795 UPG261795 UFK261795 TVO261795 TLS261795 TBW261795 SSA261795 SIE261795 RYI261795 ROM261795 REQ261795 QUU261795 QKY261795 QBC261795 PRG261795 PHK261795 OXO261795 ONS261795 ODW261795 NUA261795 NKE261795 NAI261795 MQM261795 MGQ261795 LWU261795 LMY261795 LDC261795 KTG261795 KJK261795 JZO261795 JPS261795 JFW261795 IWA261795 IME261795 ICI261795 HSM261795 HIQ261795 GYU261795 GOY261795 GFC261795 FVG261795 FLK261795 FBO261795 ERS261795 EHW261795 DYA261795 DOE261795 DEI261795 CUM261795 CKQ261795 CAU261795 BQY261795 BHC261795 AXG261795 ANK261795 ADO261795 TS261795 JW261795 G261787 WWI196259 WMM196259 WCQ196259 VSU196259 VIY196259 UZC196259 UPG196259 UFK196259 TVO196259 TLS196259 TBW196259 SSA196259 SIE196259 RYI196259 ROM196259 REQ196259 QUU196259 QKY196259 QBC196259 PRG196259 PHK196259 OXO196259 ONS196259 ODW196259 NUA196259 NKE196259 NAI196259 MQM196259 MGQ196259 LWU196259 LMY196259 LDC196259 KTG196259 KJK196259 JZO196259 JPS196259 JFW196259 IWA196259 IME196259 ICI196259 HSM196259 HIQ196259 GYU196259 GOY196259 GFC196259 FVG196259 FLK196259 FBO196259 ERS196259 EHW196259 DYA196259 DOE196259 DEI196259 CUM196259 CKQ196259 CAU196259 BQY196259 BHC196259 AXG196259 ANK196259 ADO196259 TS196259 JW196259 G196251 WWI130723 WMM130723 WCQ130723 VSU130723 VIY130723 UZC130723 UPG130723 UFK130723 TVO130723 TLS130723 TBW130723 SSA130723 SIE130723 RYI130723 ROM130723 REQ130723 QUU130723 QKY130723 QBC130723 PRG130723 PHK130723 OXO130723 ONS130723 ODW130723 NUA130723 NKE130723 NAI130723 MQM130723 MGQ130723 LWU130723 LMY130723 LDC130723 KTG130723 KJK130723 JZO130723 JPS130723 JFW130723 IWA130723 IME130723 ICI130723 HSM130723 HIQ130723 GYU130723 GOY130723 GFC130723 FVG130723 FLK130723 FBO130723 ERS130723 EHW130723 DYA130723 DOE130723 DEI130723 CUM130723 CKQ130723 CAU130723 BQY130723 BHC130723 AXG130723 ANK130723 ADO130723 TS130723 JW130723 G130715 WWI65187 WMM65187 WCQ65187 VSU65187 VIY65187 UZC65187 UPG65187 UFK65187 TVO65187 TLS65187 TBW65187 SSA65187 SIE65187 RYI65187 ROM65187 REQ65187 QUU65187 QKY65187 QBC65187 PRG65187 PHK65187 OXO65187 ONS65187 ODW65187 NUA65187 NKE65187 NAI65187 MQM65187 MGQ65187 LWU65187 LMY65187 LDC65187 KTG65187 KJK65187 JZO65187 JPS65187 JFW65187 IWA65187 IME65187 ICI65187 HSM65187 HIQ65187 GYU65187 GOY65187 GFC65187 FVG65187 FLK65187 FBO65187 ERS65187 EHW65187 DYA65187 DOE65187 DEI65187 CUM65187 CKQ65187 CAU65187 BQY65187 BHC65187 AXG65187 ANK65187 ADO65187 TS65187 JW65187 WMN10 WWH8:WWH9 WWJ10 JV8:JV9 JX10 TR8:TR9 TT10 ADN8:ADN9 ADP10 ANJ8:ANJ9 ANL10 AXF8:AXF9 AXH10 BHB8:BHB9 BHD10 BQX8:BQX9 BQZ10 CAT8:CAT9 CAV10 CKP8:CKP9 CKR10 CUL8:CUL9 CUN10 DEH8:DEH9 DEJ10 DOD8:DOD9 DOF10 DXZ8:DXZ9 DYB10 EHV8:EHV9 EHX10 ERR8:ERR9 ERT10 FBN8:FBN9 FBP10 FLJ8:FLJ9 FLL10 FVF8:FVF9 FVH10 GFB8:GFB9 GFD10 GOX8:GOX9 GOZ10 GYT8:GYT9 GYV10 HIP8:HIP9 HIR10 HSL8:HSL9 HSN10 ICH8:ICH9 ICJ10 IMD8:IMD9 IMF10 IVZ8:IVZ9 IWB10 JFV8:JFV9 JFX10 JPR8:JPR9 JPT10 JZN8:JZN9 JZP10 KJJ8:KJJ9 KJL10 KTF8:KTF9 KTH10 LDB8:LDB9 LDD10 LMX8:LMX9 LMZ10 LWT8:LWT9 LWV10 MGP8:MGP9 MGR10 MQL8:MQL9 MQN10 NAH8:NAH9 NAJ10 NKD8:NKD9 NKF10 NTZ8:NTZ9 NUB10 ODV8:ODV9 ODX10 ONR8:ONR9 ONT10 OXN8:OXN9 OXP10 PHJ8:PHJ9 PHL10 PRF8:PRF9 PRH10 QBB8:QBB9 QBD10 QKX8:QKX9 QKZ10 QUT8:QUT9 QUV10 REP8:REP9 RER10 ROL8:ROL9 RON10 RYH8:RYH9 RYJ10 SID8:SID9 SIF10 SRZ8:SRZ9 SSB10 TBV8:TBV9 TBX10 TLR8:TLR9 TLT10 TVN8:TVN9 TVP10 UFJ8:UFJ9 UFL10 UPF8:UPF9 UPH10 UZB8:UZB9 UZD10 VIX8:VIX9 VIZ10 VST8:VST9 VSV10 WCP8:WCP9 WCR10 WML8:WML9" xr:uid="{0A4AC435-806C-49C2-A8B3-5C3E5857714D}">
      <formula1>#REF!</formula1>
    </dataValidation>
  </dataValidations>
  <printOptions horizontalCentered="1"/>
  <pageMargins left="0.78740157480314965" right="0.59055118110236227" top="0.55118110236220474" bottom="0.55118110236220474" header="0" footer="0"/>
  <pageSetup scale="78"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E91A7-7F42-405A-96F1-B7F5303C674B}">
  <dimension ref="A1:W49"/>
  <sheetViews>
    <sheetView showGridLines="0" tabSelected="1" zoomScale="70" zoomScaleNormal="70" zoomScaleSheetLayoutView="85" workbookViewId="0">
      <selection activeCell="M3" sqref="M3"/>
    </sheetView>
  </sheetViews>
  <sheetFormatPr defaultColWidth="8.77734375" defaultRowHeight="17.399999999999999" x14ac:dyDescent="0.25"/>
  <cols>
    <col min="1" max="1" width="5.44140625" style="62" customWidth="1"/>
    <col min="2" max="2" width="30.109375" style="62" customWidth="1"/>
    <col min="3" max="3" width="7.109375" style="63" bestFit="1" customWidth="1"/>
    <col min="4" max="4" width="11.6640625" style="63" customWidth="1"/>
    <col min="5" max="5" width="20.44140625" style="64" customWidth="1"/>
    <col min="6" max="6" width="21.6640625" style="64" customWidth="1"/>
    <col min="7" max="7" width="23" style="64" customWidth="1"/>
    <col min="8" max="8" width="21.109375" style="64" customWidth="1"/>
    <col min="9" max="9" width="23.109375" style="64" customWidth="1"/>
    <col min="10" max="10" width="21.44140625" style="64" customWidth="1"/>
    <col min="11" max="11" width="20.33203125" style="64" customWidth="1"/>
    <col min="12" max="12" width="22.6640625" style="64" customWidth="1"/>
    <col min="13" max="13" width="21.44140625" style="64" customWidth="1"/>
    <col min="14" max="15" width="10.109375" style="2" customWidth="1"/>
    <col min="16" max="17" width="10.109375" style="60" customWidth="1"/>
    <col min="18" max="18" width="6.6640625" style="61" bestFit="1" customWidth="1"/>
    <col min="19" max="19" width="9.109375" style="60" customWidth="1"/>
    <col min="20" max="20" width="8.77734375" style="60" customWidth="1"/>
    <col min="21" max="21" width="24.77734375" style="60" hidden="1" customWidth="1"/>
    <col min="22" max="22" width="13.33203125" style="60" hidden="1" customWidth="1"/>
    <col min="23" max="16384" width="8.77734375" style="62"/>
  </cols>
  <sheetData>
    <row r="1" spans="1:23" ht="17.399999999999999" customHeight="1" x14ac:dyDescent="0.25">
      <c r="A1" s="94"/>
      <c r="B1" s="139"/>
      <c r="C1" s="139"/>
      <c r="D1" s="139"/>
      <c r="E1" s="140"/>
      <c r="F1" s="140"/>
      <c r="G1" s="140"/>
      <c r="H1" s="140"/>
      <c r="I1" s="140"/>
      <c r="J1" s="140"/>
      <c r="K1" s="140"/>
      <c r="L1" s="140"/>
      <c r="M1" s="59"/>
    </row>
    <row r="2" spans="1:23" ht="17.399999999999999" customHeight="1" x14ac:dyDescent="0.25">
      <c r="A2" s="94"/>
      <c r="B2" s="94"/>
      <c r="C2" s="95"/>
      <c r="D2" s="95"/>
      <c r="E2" s="89"/>
      <c r="F2" s="89"/>
      <c r="G2" s="89"/>
      <c r="H2" s="89"/>
      <c r="I2" s="89"/>
      <c r="J2" s="89"/>
      <c r="K2" s="89"/>
      <c r="L2" s="89"/>
      <c r="U2" s="61" t="s">
        <v>42</v>
      </c>
      <c r="V2" s="65">
        <f>M3-M4</f>
        <v>-5</v>
      </c>
    </row>
    <row r="3" spans="1:23" ht="17.399999999999999" customHeight="1" x14ac:dyDescent="0.25">
      <c r="A3" s="94"/>
      <c r="B3" s="94"/>
      <c r="C3" s="95"/>
      <c r="D3" s="95"/>
      <c r="E3" s="89"/>
      <c r="F3" s="89"/>
      <c r="G3" s="89"/>
      <c r="H3" s="89"/>
      <c r="I3" s="89"/>
      <c r="J3" s="89"/>
      <c r="K3" s="92"/>
      <c r="L3" s="91" t="s">
        <v>149</v>
      </c>
      <c r="M3" s="5">
        <v>7</v>
      </c>
      <c r="U3" s="61" t="s">
        <v>41</v>
      </c>
      <c r="V3" s="65">
        <f>IF((M5-(M4+M3)/2)&lt;0, 0-(M5-(M4+M3)/2),(M5-(M4+M3)/2))</f>
        <v>17.5</v>
      </c>
    </row>
    <row r="4" spans="1:23" ht="17.399999999999999" customHeight="1" x14ac:dyDescent="0.25">
      <c r="A4" s="94"/>
      <c r="B4" s="94"/>
      <c r="C4" s="95"/>
      <c r="D4" s="95"/>
      <c r="E4" s="89"/>
      <c r="F4" s="89"/>
      <c r="G4" s="89"/>
      <c r="H4" s="89"/>
      <c r="I4" s="89"/>
      <c r="J4" s="89"/>
      <c r="K4" s="92"/>
      <c r="L4" s="91" t="s">
        <v>150</v>
      </c>
      <c r="M4" s="5">
        <v>12</v>
      </c>
      <c r="T4" s="67"/>
      <c r="V4" s="68">
        <f>IF(M7*(1-$M$9)=0,0.00001,M7*(1-$M$9))</f>
        <v>2450</v>
      </c>
    </row>
    <row r="5" spans="1:23" ht="17.399999999999999" customHeight="1" x14ac:dyDescent="0.25">
      <c r="A5" s="94"/>
      <c r="B5" s="94"/>
      <c r="C5" s="141"/>
      <c r="D5" s="141"/>
      <c r="E5" s="142"/>
      <c r="F5" s="89"/>
      <c r="G5" s="89"/>
      <c r="H5" s="89"/>
      <c r="I5" s="89"/>
      <c r="J5" s="142"/>
      <c r="K5" s="92"/>
      <c r="L5" s="91" t="s">
        <v>151</v>
      </c>
      <c r="M5" s="5">
        <v>27</v>
      </c>
      <c r="N5" s="66"/>
      <c r="V5" s="68">
        <f>IF(M7*(1+$M$8)=0,0.00001,M7*(1+$M$8))</f>
        <v>2875</v>
      </c>
    </row>
    <row r="6" spans="1:23" ht="17.399999999999999" customHeight="1" x14ac:dyDescent="0.25">
      <c r="A6" s="94"/>
      <c r="B6" s="94"/>
      <c r="C6" s="143"/>
      <c r="D6" s="143"/>
      <c r="E6" s="144"/>
      <c r="F6" s="195" t="s">
        <v>145</v>
      </c>
      <c r="G6" s="195"/>
      <c r="H6" s="195"/>
      <c r="I6" s="195"/>
      <c r="J6" s="144"/>
      <c r="K6" s="92"/>
      <c r="L6" s="92"/>
      <c r="M6" s="2"/>
    </row>
    <row r="7" spans="1:23" ht="17.399999999999999" customHeight="1" x14ac:dyDescent="0.25">
      <c r="A7" s="94"/>
      <c r="B7" s="94"/>
      <c r="C7" s="146"/>
      <c r="D7" s="146"/>
      <c r="E7" s="147"/>
      <c r="F7" s="195"/>
      <c r="G7" s="195"/>
      <c r="H7" s="195"/>
      <c r="I7" s="195"/>
      <c r="J7" s="147"/>
      <c r="K7" s="92"/>
      <c r="L7" s="91" t="s">
        <v>152</v>
      </c>
      <c r="M7" s="4">
        <v>2500</v>
      </c>
      <c r="N7" s="69"/>
    </row>
    <row r="8" spans="1:23" ht="17.399999999999999" customHeight="1" x14ac:dyDescent="0.25">
      <c r="A8" s="94"/>
      <c r="B8" s="94"/>
      <c r="C8" s="133"/>
      <c r="D8" s="133"/>
      <c r="E8" s="134"/>
      <c r="F8" s="196" t="s">
        <v>146</v>
      </c>
      <c r="G8" s="196"/>
      <c r="H8" s="196"/>
      <c r="I8" s="196"/>
      <c r="J8" s="134"/>
      <c r="K8" s="92"/>
      <c r="L8" s="91" t="s">
        <v>153</v>
      </c>
      <c r="M8" s="6">
        <v>0.15</v>
      </c>
    </row>
    <row r="9" spans="1:23" ht="17.399999999999999" customHeight="1" thickBot="1" x14ac:dyDescent="0.3">
      <c r="A9" s="94"/>
      <c r="B9" s="94"/>
      <c r="C9" s="95"/>
      <c r="D9" s="94"/>
      <c r="E9" s="89"/>
      <c r="F9" s="89"/>
      <c r="G9" s="89"/>
      <c r="H9" s="89"/>
      <c r="I9" s="89"/>
      <c r="J9" s="89"/>
      <c r="K9" s="92"/>
      <c r="L9" s="91" t="s">
        <v>154</v>
      </c>
      <c r="M9" s="6">
        <v>0.02</v>
      </c>
      <c r="S9" s="61"/>
      <c r="T9" s="61"/>
    </row>
    <row r="10" spans="1:23" ht="17.399999999999999" customHeight="1" thickBot="1" x14ac:dyDescent="0.3">
      <c r="A10" s="94"/>
      <c r="B10" s="94"/>
      <c r="C10" s="95"/>
      <c r="D10" s="94"/>
      <c r="E10" s="89"/>
      <c r="F10" s="187" t="s">
        <v>147</v>
      </c>
      <c r="G10" s="188"/>
      <c r="H10" s="214" t="s">
        <v>148</v>
      </c>
      <c r="I10" s="188"/>
      <c r="J10" s="89"/>
      <c r="K10" s="91"/>
      <c r="L10" s="91"/>
      <c r="M10" s="1"/>
      <c r="S10" s="61"/>
      <c r="T10" s="61"/>
      <c r="U10" s="71"/>
      <c r="V10" s="70"/>
    </row>
    <row r="11" spans="1:23" x14ac:dyDescent="0.25">
      <c r="A11" s="94"/>
      <c r="B11" s="94"/>
      <c r="C11" s="95"/>
      <c r="D11" s="95"/>
      <c r="E11" s="89"/>
      <c r="F11" s="89"/>
      <c r="G11" s="89"/>
      <c r="H11" s="89"/>
      <c r="I11" s="89"/>
      <c r="J11" s="89"/>
      <c r="K11" s="89"/>
      <c r="L11" s="89"/>
      <c r="V11" s="62"/>
    </row>
    <row r="12" spans="1:23" s="70" customFormat="1" ht="35.4" customHeight="1" x14ac:dyDescent="0.25">
      <c r="A12" s="154"/>
      <c r="B12" s="215" t="s">
        <v>155</v>
      </c>
      <c r="C12" s="216"/>
      <c r="D12" s="217"/>
      <c r="E12" s="96" t="s">
        <v>91</v>
      </c>
      <c r="F12" s="97" t="s">
        <v>92</v>
      </c>
      <c r="G12" s="96" t="s">
        <v>93</v>
      </c>
      <c r="H12" s="97" t="s">
        <v>94</v>
      </c>
      <c r="I12" s="96" t="s">
        <v>95</v>
      </c>
      <c r="J12" s="97" t="s">
        <v>96</v>
      </c>
      <c r="K12" s="96" t="s">
        <v>97</v>
      </c>
      <c r="L12" s="97" t="s">
        <v>98</v>
      </c>
      <c r="M12" s="96" t="s">
        <v>99</v>
      </c>
      <c r="N12" s="2"/>
      <c r="O12" s="2"/>
      <c r="P12" s="60"/>
      <c r="Q12" s="60"/>
      <c r="R12" s="61"/>
      <c r="S12" s="71"/>
      <c r="T12" s="71"/>
      <c r="U12" s="60"/>
      <c r="V12" s="62"/>
      <c r="W12" s="62"/>
    </row>
    <row r="13" spans="1:23" x14ac:dyDescent="0.25">
      <c r="A13" s="94"/>
      <c r="B13" s="165" t="s">
        <v>159</v>
      </c>
      <c r="C13" s="167" t="s">
        <v>39</v>
      </c>
      <c r="D13" s="99" t="s">
        <v>156</v>
      </c>
      <c r="E13" s="88">
        <v>340</v>
      </c>
      <c r="F13" s="100">
        <v>510</v>
      </c>
      <c r="G13" s="88">
        <v>680</v>
      </c>
      <c r="H13" s="100">
        <v>850</v>
      </c>
      <c r="I13" s="88">
        <v>1020</v>
      </c>
      <c r="J13" s="100">
        <v>1360</v>
      </c>
      <c r="K13" s="88">
        <v>1700</v>
      </c>
      <c r="L13" s="100">
        <v>2040</v>
      </c>
      <c r="M13" s="88">
        <v>2380</v>
      </c>
      <c r="V13" s="62"/>
    </row>
    <row r="14" spans="1:23" x14ac:dyDescent="0.25">
      <c r="A14" s="94"/>
      <c r="B14" s="165"/>
      <c r="C14" s="168"/>
      <c r="D14" s="99" t="s">
        <v>157</v>
      </c>
      <c r="E14" s="88">
        <v>255</v>
      </c>
      <c r="F14" s="100">
        <v>382</v>
      </c>
      <c r="G14" s="88">
        <v>510</v>
      </c>
      <c r="H14" s="100">
        <v>637</v>
      </c>
      <c r="I14" s="88">
        <v>765</v>
      </c>
      <c r="J14" s="100">
        <v>1122</v>
      </c>
      <c r="K14" s="88">
        <v>1402</v>
      </c>
      <c r="L14" s="100">
        <v>1683</v>
      </c>
      <c r="M14" s="88">
        <v>1927</v>
      </c>
      <c r="V14" s="62"/>
    </row>
    <row r="15" spans="1:23" ht="18" thickBot="1" x14ac:dyDescent="0.3">
      <c r="A15" s="94"/>
      <c r="B15" s="213"/>
      <c r="C15" s="180"/>
      <c r="D15" s="110" t="s">
        <v>158</v>
      </c>
      <c r="E15" s="155">
        <v>170</v>
      </c>
      <c r="F15" s="156">
        <v>255</v>
      </c>
      <c r="G15" s="155">
        <v>340</v>
      </c>
      <c r="H15" s="156">
        <v>425</v>
      </c>
      <c r="I15" s="155">
        <v>510</v>
      </c>
      <c r="J15" s="156">
        <v>850</v>
      </c>
      <c r="K15" s="155">
        <v>1062</v>
      </c>
      <c r="L15" s="156">
        <v>1275</v>
      </c>
      <c r="M15" s="155">
        <v>1487</v>
      </c>
      <c r="V15" s="62"/>
    </row>
    <row r="16" spans="1:23" x14ac:dyDescent="0.25">
      <c r="A16" s="94"/>
      <c r="B16" s="176" t="s">
        <v>160</v>
      </c>
      <c r="C16" s="179" t="s">
        <v>38</v>
      </c>
      <c r="D16" s="103" t="s">
        <v>156</v>
      </c>
      <c r="E16" s="104">
        <f>IF($V$2&gt;0,"",IF($V$3&gt;12.5,266.36*$V$3-2479.9,E19))</f>
        <v>2181.4</v>
      </c>
      <c r="F16" s="105">
        <f>IF($V$2&gt;0,"",IF($V$3&gt;12.5,373.01*$V$3-3393.9,F19))</f>
        <v>3133.7750000000001</v>
      </c>
      <c r="G16" s="104">
        <f>IF($V$2&gt;0,"",IF($V$3&gt;12.5,479.29*$V$3-4277.8,G19))</f>
        <v>4109.7750000000005</v>
      </c>
      <c r="H16" s="105">
        <f>IF($V$2&gt;0,"",IF($V$3&gt;12.5,556.62*$V$3-4940.7,H19))</f>
        <v>4800.1500000000005</v>
      </c>
      <c r="I16" s="104">
        <f>IF($V$2&gt;0,"",IF($V$3&gt;12.5,714.4*$V$3-6369.7,I19))</f>
        <v>6132.3</v>
      </c>
      <c r="J16" s="105">
        <f>IF($V$2&gt;0,"",IF($V$3&gt;12.5,904.01*$V$3-7654.6,J19))</f>
        <v>8165.5749999999989</v>
      </c>
      <c r="K16" s="104">
        <f>IF($V$2&gt;0,"",IF($V$3&gt;12.5,1054.7*$V$3-9057.7,K19))</f>
        <v>9399.5499999999993</v>
      </c>
      <c r="L16" s="105">
        <f>IF($V$2&gt;0,"",IF($V$3&gt;12.5,1285.5*$V$3-10909,L19))</f>
        <v>11587.25</v>
      </c>
      <c r="M16" s="106">
        <f>IF($V$2&gt;0,"",IF($V$3&gt;12.5,1388.6*$V$3-11715,M19))</f>
        <v>12585.5</v>
      </c>
      <c r="V16" s="62"/>
    </row>
    <row r="17" spans="1:22" x14ac:dyDescent="0.25">
      <c r="A17" s="94"/>
      <c r="B17" s="177"/>
      <c r="C17" s="168"/>
      <c r="D17" s="99" t="s">
        <v>157</v>
      </c>
      <c r="E17" s="107">
        <f>IFERROR(ROUND(E16*0.86,0),"")</f>
        <v>1876</v>
      </c>
      <c r="F17" s="108">
        <f t="shared" ref="F17:L17" si="0">IFERROR(ROUND(F16*0.86,0),"")</f>
        <v>2695</v>
      </c>
      <c r="G17" s="107">
        <f t="shared" si="0"/>
        <v>3534</v>
      </c>
      <c r="H17" s="108">
        <f t="shared" si="0"/>
        <v>4128</v>
      </c>
      <c r="I17" s="107">
        <f t="shared" si="0"/>
        <v>5274</v>
      </c>
      <c r="J17" s="108">
        <f t="shared" si="0"/>
        <v>7022</v>
      </c>
      <c r="K17" s="107">
        <f t="shared" si="0"/>
        <v>8084</v>
      </c>
      <c r="L17" s="108">
        <f t="shared" si="0"/>
        <v>9965</v>
      </c>
      <c r="M17" s="109">
        <f>IFERROR(ROUND(M16*0.86,0),"")</f>
        <v>10824</v>
      </c>
      <c r="N17" s="72"/>
      <c r="V17" s="62"/>
    </row>
    <row r="18" spans="1:22" ht="18" thickBot="1" x14ac:dyDescent="0.3">
      <c r="A18" s="94"/>
      <c r="B18" s="178"/>
      <c r="C18" s="180"/>
      <c r="D18" s="110" t="s">
        <v>158</v>
      </c>
      <c r="E18" s="111">
        <f>IFERROR(ROUND(E16*0.63,0),"")</f>
        <v>1374</v>
      </c>
      <c r="F18" s="112">
        <f t="shared" ref="F18:M18" si="1">IFERROR(ROUND(F16*0.63,0),"")</f>
        <v>1974</v>
      </c>
      <c r="G18" s="111">
        <f t="shared" si="1"/>
        <v>2589</v>
      </c>
      <c r="H18" s="112">
        <f t="shared" si="1"/>
        <v>3024</v>
      </c>
      <c r="I18" s="111">
        <f t="shared" si="1"/>
        <v>3863</v>
      </c>
      <c r="J18" s="112">
        <f t="shared" si="1"/>
        <v>5144</v>
      </c>
      <c r="K18" s="111">
        <f t="shared" si="1"/>
        <v>5922</v>
      </c>
      <c r="L18" s="112">
        <f t="shared" si="1"/>
        <v>7300</v>
      </c>
      <c r="M18" s="113">
        <f t="shared" si="1"/>
        <v>7929</v>
      </c>
      <c r="N18" s="72"/>
      <c r="V18" s="62"/>
    </row>
    <row r="19" spans="1:22" x14ac:dyDescent="0.25">
      <c r="A19" s="94"/>
      <c r="B19" s="176" t="s">
        <v>161</v>
      </c>
      <c r="C19" s="179" t="s">
        <v>38</v>
      </c>
      <c r="D19" s="103" t="s">
        <v>156</v>
      </c>
      <c r="E19" s="104">
        <f>IF($V$2&lt;0,104.57*$V$3-249.36,"")</f>
        <v>1580.6149999999998</v>
      </c>
      <c r="F19" s="105">
        <f>IF($V$2&lt;0,148.75*$V$3-346.46,"")</f>
        <v>2256.665</v>
      </c>
      <c r="G19" s="104">
        <f>IF($V$2&lt;0,191.21*$V$3-410.98,"")</f>
        <v>2935.1950000000002</v>
      </c>
      <c r="H19" s="105">
        <f>IF($V$2&lt;0,221.15*$V$3-453.81,"")</f>
        <v>3416.3150000000001</v>
      </c>
      <c r="I19" s="104">
        <f>IF($V$2&lt;0,285.04*$V$3-610.06,"")</f>
        <v>4378.1400000000012</v>
      </c>
      <c r="J19" s="105">
        <f>IF($V$2&lt;0,375.45*$V$3-763.59,"")</f>
        <v>5806.7849999999999</v>
      </c>
      <c r="K19" s="104">
        <f>IF($V$2&lt;0,436.29*$V$3-913.6,"")</f>
        <v>6721.4750000000004</v>
      </c>
      <c r="L19" s="105">
        <f>IF($V$2&lt;0,531.66*$V$3-1065.4,"")</f>
        <v>8238.65</v>
      </c>
      <c r="M19" s="106">
        <f>IF($V$2&lt;0,574.69*$V$3-1108.7,"")</f>
        <v>8948.375</v>
      </c>
      <c r="N19" s="72"/>
      <c r="V19" s="62"/>
    </row>
    <row r="20" spans="1:22" x14ac:dyDescent="0.25">
      <c r="A20" s="94"/>
      <c r="B20" s="177"/>
      <c r="C20" s="168"/>
      <c r="D20" s="99" t="s">
        <v>157</v>
      </c>
      <c r="E20" s="107">
        <f>IFERROR(ROUND(E19*0.86,0),"")</f>
        <v>1359</v>
      </c>
      <c r="F20" s="108">
        <f t="shared" ref="F20:M20" si="2">IFERROR(ROUND(F19*0.86,0),"")</f>
        <v>1941</v>
      </c>
      <c r="G20" s="107">
        <f t="shared" si="2"/>
        <v>2524</v>
      </c>
      <c r="H20" s="108">
        <f t="shared" si="2"/>
        <v>2938</v>
      </c>
      <c r="I20" s="107">
        <f t="shared" si="2"/>
        <v>3765</v>
      </c>
      <c r="J20" s="108">
        <f t="shared" si="2"/>
        <v>4994</v>
      </c>
      <c r="K20" s="107">
        <f t="shared" si="2"/>
        <v>5780</v>
      </c>
      <c r="L20" s="108">
        <f t="shared" si="2"/>
        <v>7085</v>
      </c>
      <c r="M20" s="109">
        <f t="shared" si="2"/>
        <v>7696</v>
      </c>
      <c r="N20" s="72"/>
    </row>
    <row r="21" spans="1:22" ht="18" thickBot="1" x14ac:dyDescent="0.3">
      <c r="A21" s="94"/>
      <c r="B21" s="178"/>
      <c r="C21" s="180"/>
      <c r="D21" s="110" t="s">
        <v>158</v>
      </c>
      <c r="E21" s="111">
        <f>IFERROR(ROUND(E19*0.63,0),"")</f>
        <v>996</v>
      </c>
      <c r="F21" s="112">
        <f t="shared" ref="F21:L21" si="3">IFERROR(ROUND(F19*0.63,0),"")</f>
        <v>1422</v>
      </c>
      <c r="G21" s="111">
        <f t="shared" si="3"/>
        <v>1849</v>
      </c>
      <c r="H21" s="112">
        <f t="shared" si="3"/>
        <v>2152</v>
      </c>
      <c r="I21" s="111">
        <f t="shared" si="3"/>
        <v>2758</v>
      </c>
      <c r="J21" s="112">
        <f t="shared" si="3"/>
        <v>3658</v>
      </c>
      <c r="K21" s="111">
        <f t="shared" si="3"/>
        <v>4235</v>
      </c>
      <c r="L21" s="112">
        <f t="shared" si="3"/>
        <v>5190</v>
      </c>
      <c r="M21" s="113">
        <f>IFERROR(ROUND(M19*0.63,0),"")</f>
        <v>5637</v>
      </c>
      <c r="N21" s="72"/>
    </row>
    <row r="22" spans="1:22" x14ac:dyDescent="0.25">
      <c r="A22" s="94"/>
      <c r="B22" s="176" t="s">
        <v>162</v>
      </c>
      <c r="C22" s="179" t="s">
        <v>38</v>
      </c>
      <c r="D22" s="103" t="s">
        <v>156</v>
      </c>
      <c r="E22" s="104" t="str">
        <f>IF($V$2&gt;0,97*$V$3-520,"")</f>
        <v/>
      </c>
      <c r="F22" s="105" t="str">
        <f>IF($V$2&gt;0,138*$V$3-700,"")</f>
        <v/>
      </c>
      <c r="G22" s="104" t="str">
        <f>IF($V$2&gt;0,188.5*$V$3-880,"")</f>
        <v/>
      </c>
      <c r="H22" s="105" t="str">
        <f>IF($V$2&gt;0,211.5*$V$3-950,"")</f>
        <v/>
      </c>
      <c r="I22" s="104" t="str">
        <f>IF($V$2&gt;0,267*$V$3-1240,"")</f>
        <v/>
      </c>
      <c r="J22" s="105" t="str">
        <f>IF($V$2&gt;0,366*$V$3-1620,"")</f>
        <v/>
      </c>
      <c r="K22" s="104" t="str">
        <f>IF($V$2&gt;0,411.5*$V$3-1880,"")</f>
        <v/>
      </c>
      <c r="L22" s="105" t="str">
        <f>IF($V$2&gt;0,496.5*$V$3-2160,"")</f>
        <v/>
      </c>
      <c r="M22" s="106" t="str">
        <f>IF($V$2&gt;0,547*$V$3-2340,"")</f>
        <v/>
      </c>
      <c r="N22" s="73"/>
    </row>
    <row r="23" spans="1:22" x14ac:dyDescent="0.25">
      <c r="A23" s="94"/>
      <c r="B23" s="177"/>
      <c r="C23" s="168"/>
      <c r="D23" s="99" t="s">
        <v>157</v>
      </c>
      <c r="E23" s="107" t="str">
        <f t="shared" ref="E23:M23" si="4">IFERROR(ROUND(E22*0.86,0),"")</f>
        <v/>
      </c>
      <c r="F23" s="108" t="str">
        <f t="shared" si="4"/>
        <v/>
      </c>
      <c r="G23" s="107" t="str">
        <f t="shared" si="4"/>
        <v/>
      </c>
      <c r="H23" s="108" t="str">
        <f t="shared" si="4"/>
        <v/>
      </c>
      <c r="I23" s="107" t="str">
        <f t="shared" si="4"/>
        <v/>
      </c>
      <c r="J23" s="108" t="str">
        <f t="shared" si="4"/>
        <v/>
      </c>
      <c r="K23" s="107" t="str">
        <f t="shared" si="4"/>
        <v/>
      </c>
      <c r="L23" s="108" t="str">
        <f t="shared" si="4"/>
        <v/>
      </c>
      <c r="M23" s="109" t="str">
        <f t="shared" si="4"/>
        <v/>
      </c>
      <c r="N23" s="72"/>
    </row>
    <row r="24" spans="1:22" ht="18" thickBot="1" x14ac:dyDescent="0.3">
      <c r="A24" s="94"/>
      <c r="B24" s="178"/>
      <c r="C24" s="180"/>
      <c r="D24" s="110" t="s">
        <v>158</v>
      </c>
      <c r="E24" s="111" t="str">
        <f t="shared" ref="E24:M24" si="5">IFERROR(ROUND(E22*0.73,0),"")</f>
        <v/>
      </c>
      <c r="F24" s="112" t="str">
        <f t="shared" si="5"/>
        <v/>
      </c>
      <c r="G24" s="111" t="str">
        <f t="shared" si="5"/>
        <v/>
      </c>
      <c r="H24" s="112" t="str">
        <f t="shared" si="5"/>
        <v/>
      </c>
      <c r="I24" s="111" t="str">
        <f t="shared" si="5"/>
        <v/>
      </c>
      <c r="J24" s="112" t="str">
        <f t="shared" si="5"/>
        <v/>
      </c>
      <c r="K24" s="111" t="str">
        <f t="shared" si="5"/>
        <v/>
      </c>
      <c r="L24" s="112" t="str">
        <f t="shared" si="5"/>
        <v/>
      </c>
      <c r="M24" s="113" t="str">
        <f t="shared" si="5"/>
        <v/>
      </c>
      <c r="N24" s="72"/>
    </row>
    <row r="25" spans="1:22" x14ac:dyDescent="0.25">
      <c r="A25" s="94"/>
      <c r="B25" s="114" t="s">
        <v>163</v>
      </c>
      <c r="C25" s="115"/>
      <c r="D25" s="135"/>
      <c r="E25" s="159" t="s">
        <v>196</v>
      </c>
      <c r="F25" s="159"/>
      <c r="G25" s="159"/>
      <c r="H25" s="159"/>
      <c r="I25" s="159"/>
      <c r="J25" s="159"/>
      <c r="K25" s="159"/>
      <c r="L25" s="159"/>
      <c r="M25" s="159"/>
    </row>
    <row r="26" spans="1:22" x14ac:dyDescent="0.25">
      <c r="A26" s="94"/>
      <c r="B26" s="165" t="s">
        <v>164</v>
      </c>
      <c r="C26" s="167" t="s">
        <v>36</v>
      </c>
      <c r="D26" s="99" t="s">
        <v>33</v>
      </c>
      <c r="E26" s="88">
        <v>28</v>
      </c>
      <c r="F26" s="100">
        <v>34</v>
      </c>
      <c r="G26" s="88">
        <v>55</v>
      </c>
      <c r="H26" s="100">
        <v>68</v>
      </c>
      <c r="I26" s="88">
        <v>87</v>
      </c>
      <c r="J26" s="100">
        <v>125</v>
      </c>
      <c r="K26" s="88">
        <v>152</v>
      </c>
      <c r="L26" s="100">
        <v>185</v>
      </c>
      <c r="M26" s="88">
        <v>205</v>
      </c>
    </row>
    <row r="27" spans="1:22" x14ac:dyDescent="0.25">
      <c r="A27" s="94"/>
      <c r="B27" s="165"/>
      <c r="C27" s="168"/>
      <c r="D27" s="99" t="s">
        <v>32</v>
      </c>
      <c r="E27" s="88">
        <v>42</v>
      </c>
      <c r="F27" s="100">
        <v>55</v>
      </c>
      <c r="G27" s="88">
        <v>68</v>
      </c>
      <c r="H27" s="100">
        <v>87</v>
      </c>
      <c r="I27" s="88">
        <v>108</v>
      </c>
      <c r="J27" s="100">
        <v>142</v>
      </c>
      <c r="K27" s="88">
        <v>174</v>
      </c>
      <c r="L27" s="100">
        <v>210</v>
      </c>
      <c r="M27" s="88">
        <v>253</v>
      </c>
    </row>
    <row r="28" spans="1:22" x14ac:dyDescent="0.25">
      <c r="A28" s="94"/>
      <c r="B28" s="165"/>
      <c r="C28" s="169"/>
      <c r="D28" s="99" t="s">
        <v>31</v>
      </c>
      <c r="E28" s="88">
        <v>49</v>
      </c>
      <c r="F28" s="100">
        <v>66</v>
      </c>
      <c r="G28" s="88">
        <v>84</v>
      </c>
      <c r="H28" s="100">
        <v>100</v>
      </c>
      <c r="I28" s="88">
        <v>118</v>
      </c>
      <c r="J28" s="100">
        <v>174</v>
      </c>
      <c r="K28" s="88">
        <v>210</v>
      </c>
      <c r="L28" s="100">
        <v>250</v>
      </c>
      <c r="M28" s="88">
        <v>300</v>
      </c>
    </row>
    <row r="29" spans="1:22" x14ac:dyDescent="0.25">
      <c r="A29" s="94"/>
      <c r="B29" s="170" t="s">
        <v>165</v>
      </c>
      <c r="C29" s="167" t="s">
        <v>35</v>
      </c>
      <c r="D29" s="99" t="s">
        <v>33</v>
      </c>
      <c r="E29" s="116">
        <f t="shared" ref="E29:M29" si="6">E26/230</f>
        <v>0.12173913043478261</v>
      </c>
      <c r="F29" s="117">
        <f t="shared" si="6"/>
        <v>0.14782608695652175</v>
      </c>
      <c r="G29" s="116">
        <f t="shared" si="6"/>
        <v>0.2391304347826087</v>
      </c>
      <c r="H29" s="117">
        <f t="shared" si="6"/>
        <v>0.29565217391304349</v>
      </c>
      <c r="I29" s="116">
        <f t="shared" si="6"/>
        <v>0.37826086956521737</v>
      </c>
      <c r="J29" s="117">
        <f t="shared" si="6"/>
        <v>0.54347826086956519</v>
      </c>
      <c r="K29" s="116">
        <f t="shared" si="6"/>
        <v>0.66086956521739126</v>
      </c>
      <c r="L29" s="117">
        <f t="shared" si="6"/>
        <v>0.80434782608695654</v>
      </c>
      <c r="M29" s="116">
        <f t="shared" si="6"/>
        <v>0.89130434782608692</v>
      </c>
    </row>
    <row r="30" spans="1:22" x14ac:dyDescent="0.25">
      <c r="A30" s="94"/>
      <c r="B30" s="175"/>
      <c r="C30" s="168"/>
      <c r="D30" s="99" t="s">
        <v>32</v>
      </c>
      <c r="E30" s="116">
        <f t="shared" ref="E30:M30" si="7">E27/230</f>
        <v>0.18260869565217391</v>
      </c>
      <c r="F30" s="117">
        <f t="shared" si="7"/>
        <v>0.2391304347826087</v>
      </c>
      <c r="G30" s="116">
        <f t="shared" si="7"/>
        <v>0.29565217391304349</v>
      </c>
      <c r="H30" s="117">
        <f t="shared" si="7"/>
        <v>0.37826086956521737</v>
      </c>
      <c r="I30" s="116">
        <f t="shared" si="7"/>
        <v>0.46956521739130436</v>
      </c>
      <c r="J30" s="117">
        <f t="shared" si="7"/>
        <v>0.61739130434782608</v>
      </c>
      <c r="K30" s="116">
        <f t="shared" si="7"/>
        <v>0.75652173913043474</v>
      </c>
      <c r="L30" s="117">
        <f t="shared" si="7"/>
        <v>0.91304347826086951</v>
      </c>
      <c r="M30" s="116">
        <f t="shared" si="7"/>
        <v>1.1000000000000001</v>
      </c>
    </row>
    <row r="31" spans="1:22" x14ac:dyDescent="0.25">
      <c r="A31" s="94"/>
      <c r="B31" s="171"/>
      <c r="C31" s="169"/>
      <c r="D31" s="99" t="s">
        <v>31</v>
      </c>
      <c r="E31" s="116">
        <f t="shared" ref="E31:M31" si="8">E28/230</f>
        <v>0.21304347826086956</v>
      </c>
      <c r="F31" s="117">
        <f t="shared" si="8"/>
        <v>0.28695652173913044</v>
      </c>
      <c r="G31" s="116">
        <f t="shared" si="8"/>
        <v>0.36521739130434783</v>
      </c>
      <c r="H31" s="117">
        <f t="shared" si="8"/>
        <v>0.43478260869565216</v>
      </c>
      <c r="I31" s="116">
        <f t="shared" si="8"/>
        <v>0.5130434782608696</v>
      </c>
      <c r="J31" s="117">
        <f t="shared" si="8"/>
        <v>0.75652173913043474</v>
      </c>
      <c r="K31" s="116">
        <f t="shared" si="8"/>
        <v>0.91304347826086951</v>
      </c>
      <c r="L31" s="117">
        <f t="shared" si="8"/>
        <v>1.0869565217391304</v>
      </c>
      <c r="M31" s="116">
        <f t="shared" si="8"/>
        <v>1.3043478260869565</v>
      </c>
    </row>
    <row r="32" spans="1:22" x14ac:dyDescent="0.25">
      <c r="A32" s="94"/>
      <c r="B32" s="165" t="s">
        <v>166</v>
      </c>
      <c r="C32" s="167" t="s">
        <v>34</v>
      </c>
      <c r="D32" s="99" t="s">
        <v>33</v>
      </c>
      <c r="E32" s="88">
        <v>34</v>
      </c>
      <c r="F32" s="100">
        <v>35</v>
      </c>
      <c r="G32" s="88">
        <v>38</v>
      </c>
      <c r="H32" s="100">
        <v>42</v>
      </c>
      <c r="I32" s="88">
        <v>43</v>
      </c>
      <c r="J32" s="100">
        <v>44</v>
      </c>
      <c r="K32" s="88">
        <v>46</v>
      </c>
      <c r="L32" s="100">
        <v>48</v>
      </c>
      <c r="M32" s="88">
        <v>49</v>
      </c>
    </row>
    <row r="33" spans="1:22" x14ac:dyDescent="0.25">
      <c r="A33" s="94"/>
      <c r="B33" s="166"/>
      <c r="C33" s="168"/>
      <c r="D33" s="99" t="s">
        <v>32</v>
      </c>
      <c r="E33" s="88">
        <v>37</v>
      </c>
      <c r="F33" s="100">
        <v>38</v>
      </c>
      <c r="G33" s="88">
        <v>41</v>
      </c>
      <c r="H33" s="100">
        <v>44</v>
      </c>
      <c r="I33" s="88">
        <v>45</v>
      </c>
      <c r="J33" s="100">
        <v>46</v>
      </c>
      <c r="K33" s="88">
        <v>48</v>
      </c>
      <c r="L33" s="100">
        <v>48</v>
      </c>
      <c r="M33" s="88">
        <v>49</v>
      </c>
    </row>
    <row r="34" spans="1:22" x14ac:dyDescent="0.25">
      <c r="A34" s="94"/>
      <c r="B34" s="166"/>
      <c r="C34" s="169"/>
      <c r="D34" s="99" t="s">
        <v>31</v>
      </c>
      <c r="E34" s="88">
        <v>42</v>
      </c>
      <c r="F34" s="100">
        <v>44</v>
      </c>
      <c r="G34" s="88">
        <v>46</v>
      </c>
      <c r="H34" s="100">
        <v>47</v>
      </c>
      <c r="I34" s="88">
        <v>49</v>
      </c>
      <c r="J34" s="100">
        <v>50</v>
      </c>
      <c r="K34" s="88">
        <v>52</v>
      </c>
      <c r="L34" s="100">
        <v>54</v>
      </c>
      <c r="M34" s="88">
        <v>56</v>
      </c>
    </row>
    <row r="35" spans="1:22" x14ac:dyDescent="0.25">
      <c r="A35" s="94"/>
      <c r="B35" s="118" t="s">
        <v>167</v>
      </c>
      <c r="C35" s="99" t="s">
        <v>30</v>
      </c>
      <c r="D35" s="119"/>
      <c r="E35" s="88">
        <f>IF($V$2&gt;0,E22/(1.163*($M$3-$M$4)),E16/(1.163*($M$4-$M$3)))</f>
        <v>375.13327601031813</v>
      </c>
      <c r="F35" s="100">
        <f t="shared" ref="F35:M35" si="9">IF($V$2&gt;0,F22/(1.163*($M$3-$M$4)),F16/(1.163*($M$4-$M$3)))</f>
        <v>538.91229578675836</v>
      </c>
      <c r="G35" s="88">
        <f t="shared" si="9"/>
        <v>706.75408426483239</v>
      </c>
      <c r="H35" s="100">
        <f t="shared" si="9"/>
        <v>825.47721410146175</v>
      </c>
      <c r="I35" s="88">
        <f t="shared" si="9"/>
        <v>1054.5657781599311</v>
      </c>
      <c r="J35" s="100">
        <f t="shared" si="9"/>
        <v>1404.2261392949267</v>
      </c>
      <c r="K35" s="88">
        <f t="shared" si="9"/>
        <v>1616.4316423043849</v>
      </c>
      <c r="L35" s="100">
        <f t="shared" si="9"/>
        <v>1992.6483233018055</v>
      </c>
      <c r="M35" s="88">
        <f t="shared" si="9"/>
        <v>2164.316423043852</v>
      </c>
    </row>
    <row r="36" spans="1:22" ht="17.399999999999999" customHeight="1" x14ac:dyDescent="0.25">
      <c r="A36" s="94"/>
      <c r="B36" s="170" t="s">
        <v>168</v>
      </c>
      <c r="C36" s="167" t="s">
        <v>29</v>
      </c>
      <c r="D36" s="123" t="s">
        <v>169</v>
      </c>
      <c r="E36" s="88">
        <v>20</v>
      </c>
      <c r="F36" s="100">
        <v>20</v>
      </c>
      <c r="G36" s="88">
        <v>20</v>
      </c>
      <c r="H36" s="100">
        <v>30</v>
      </c>
      <c r="I36" s="88">
        <v>40</v>
      </c>
      <c r="J36" s="100">
        <v>40</v>
      </c>
      <c r="K36" s="88">
        <v>40</v>
      </c>
      <c r="L36" s="100">
        <v>40</v>
      </c>
      <c r="M36" s="88">
        <v>50</v>
      </c>
    </row>
    <row r="37" spans="1:22" ht="17.399999999999999" customHeight="1" x14ac:dyDescent="0.25">
      <c r="A37" s="94"/>
      <c r="B37" s="171"/>
      <c r="C37" s="169"/>
      <c r="D37" s="123" t="s">
        <v>170</v>
      </c>
      <c r="E37" s="88">
        <v>7.06</v>
      </c>
      <c r="F37" s="100">
        <v>13.23</v>
      </c>
      <c r="G37" s="88">
        <v>22.44</v>
      </c>
      <c r="H37" s="100">
        <v>27.7</v>
      </c>
      <c r="I37" s="88">
        <v>26.61</v>
      </c>
      <c r="J37" s="100">
        <v>46.95</v>
      </c>
      <c r="K37" s="88">
        <v>23.23</v>
      </c>
      <c r="L37" s="100">
        <v>32.9</v>
      </c>
      <c r="M37" s="88">
        <v>39.08</v>
      </c>
    </row>
    <row r="38" spans="1:22" ht="17.399999999999999" customHeight="1" x14ac:dyDescent="0.25">
      <c r="A38" s="94"/>
      <c r="B38" s="127" t="s">
        <v>171</v>
      </c>
      <c r="C38" s="99" t="s">
        <v>27</v>
      </c>
      <c r="D38" s="119"/>
      <c r="E38" s="163">
        <v>1.6</v>
      </c>
      <c r="F38" s="163"/>
      <c r="G38" s="163"/>
      <c r="H38" s="163"/>
      <c r="I38" s="163"/>
      <c r="J38" s="163"/>
      <c r="K38" s="163"/>
      <c r="L38" s="163"/>
      <c r="M38" s="163"/>
    </row>
    <row r="39" spans="1:22" x14ac:dyDescent="0.25">
      <c r="A39" s="94"/>
      <c r="B39" s="184" t="s">
        <v>172</v>
      </c>
      <c r="C39" s="185"/>
      <c r="D39" s="186"/>
      <c r="E39" s="163" t="s">
        <v>26</v>
      </c>
      <c r="F39" s="163"/>
      <c r="G39" s="163"/>
      <c r="H39" s="163"/>
      <c r="I39" s="163"/>
      <c r="J39" s="163"/>
      <c r="K39" s="163"/>
      <c r="L39" s="163"/>
      <c r="M39" s="163"/>
    </row>
    <row r="40" spans="1:22" x14ac:dyDescent="0.25">
      <c r="A40" s="94"/>
      <c r="B40" s="184" t="s">
        <v>173</v>
      </c>
      <c r="C40" s="185"/>
      <c r="D40" s="186"/>
      <c r="E40" s="163"/>
      <c r="F40" s="163"/>
      <c r="G40" s="163"/>
      <c r="H40" s="163"/>
      <c r="I40" s="163"/>
      <c r="J40" s="163"/>
      <c r="K40" s="163"/>
      <c r="L40" s="163"/>
      <c r="M40" s="163"/>
    </row>
    <row r="41" spans="1:22" ht="17.399999999999999" customHeight="1" x14ac:dyDescent="0.25">
      <c r="A41" s="94"/>
      <c r="B41" s="184" t="s">
        <v>174</v>
      </c>
      <c r="C41" s="185"/>
      <c r="D41" s="186"/>
      <c r="E41" s="164" t="s">
        <v>184</v>
      </c>
      <c r="F41" s="164"/>
      <c r="G41" s="164"/>
      <c r="H41" s="164"/>
      <c r="I41" s="164"/>
      <c r="J41" s="164"/>
      <c r="K41" s="164"/>
      <c r="L41" s="164"/>
      <c r="M41" s="164"/>
    </row>
    <row r="42" spans="1:22" s="64" customFormat="1" ht="17.399999999999999" customHeight="1" x14ac:dyDescent="0.25">
      <c r="A42" s="89"/>
      <c r="B42" s="160" t="s">
        <v>175</v>
      </c>
      <c r="C42" s="161"/>
      <c r="D42" s="162"/>
      <c r="E42" s="172" t="s">
        <v>185</v>
      </c>
      <c r="F42" s="173"/>
      <c r="G42" s="173"/>
      <c r="H42" s="173"/>
      <c r="I42" s="173"/>
      <c r="J42" s="173"/>
      <c r="K42" s="173"/>
      <c r="L42" s="173"/>
      <c r="M42" s="174"/>
      <c r="N42" s="2"/>
      <c r="O42" s="2"/>
      <c r="P42" s="60"/>
      <c r="Q42" s="60"/>
      <c r="R42" s="61"/>
      <c r="S42" s="60"/>
      <c r="T42" s="60"/>
      <c r="U42" s="60"/>
      <c r="V42" s="60"/>
    </row>
    <row r="43" spans="1:22" s="64" customFormat="1" x14ac:dyDescent="0.25">
      <c r="A43" s="89"/>
      <c r="B43" s="160" t="s">
        <v>176</v>
      </c>
      <c r="C43" s="161"/>
      <c r="D43" s="162"/>
      <c r="E43" s="163" t="s">
        <v>186</v>
      </c>
      <c r="F43" s="163"/>
      <c r="G43" s="163"/>
      <c r="H43" s="163"/>
      <c r="I43" s="163"/>
      <c r="J43" s="163"/>
      <c r="K43" s="163"/>
      <c r="L43" s="163"/>
      <c r="M43" s="163"/>
      <c r="N43" s="2"/>
      <c r="O43" s="2"/>
      <c r="P43" s="60"/>
      <c r="Q43" s="60"/>
      <c r="R43" s="61"/>
      <c r="S43" s="60"/>
      <c r="T43" s="60"/>
      <c r="U43" s="60"/>
      <c r="V43" s="60"/>
    </row>
    <row r="44" spans="1:22" x14ac:dyDescent="0.25">
      <c r="A44" s="94"/>
      <c r="B44" s="184" t="s">
        <v>177</v>
      </c>
      <c r="C44" s="185"/>
      <c r="D44" s="186"/>
      <c r="E44" s="163" t="s">
        <v>187</v>
      </c>
      <c r="F44" s="163"/>
      <c r="G44" s="163"/>
      <c r="H44" s="163"/>
      <c r="I44" s="163"/>
      <c r="J44" s="163"/>
      <c r="K44" s="163"/>
      <c r="L44" s="163"/>
      <c r="M44" s="163"/>
    </row>
    <row r="45" spans="1:22" x14ac:dyDescent="0.25">
      <c r="A45" s="94"/>
      <c r="B45" s="184" t="s">
        <v>178</v>
      </c>
      <c r="C45" s="185"/>
      <c r="D45" s="186"/>
      <c r="E45" s="163" t="s">
        <v>188</v>
      </c>
      <c r="F45" s="163"/>
      <c r="G45" s="163"/>
      <c r="H45" s="163"/>
      <c r="I45" s="163"/>
      <c r="J45" s="163"/>
      <c r="K45" s="163"/>
      <c r="L45" s="163"/>
      <c r="M45" s="163"/>
    </row>
    <row r="46" spans="1:22" x14ac:dyDescent="0.25">
      <c r="A46" s="94"/>
      <c r="B46" s="118" t="s">
        <v>179</v>
      </c>
      <c r="C46" s="99" t="s">
        <v>11</v>
      </c>
      <c r="D46" s="119"/>
      <c r="E46" s="129" t="s">
        <v>20</v>
      </c>
      <c r="F46" s="130" t="s">
        <v>19</v>
      </c>
      <c r="G46" s="129" t="s">
        <v>18</v>
      </c>
      <c r="H46" s="130" t="s">
        <v>17</v>
      </c>
      <c r="I46" s="129" t="s">
        <v>16</v>
      </c>
      <c r="J46" s="130" t="s">
        <v>15</v>
      </c>
      <c r="K46" s="129" t="s">
        <v>14</v>
      </c>
      <c r="L46" s="130" t="s">
        <v>13</v>
      </c>
      <c r="M46" s="129" t="s">
        <v>13</v>
      </c>
    </row>
    <row r="47" spans="1:22" x14ac:dyDescent="0.25">
      <c r="A47" s="94"/>
      <c r="B47" s="118" t="s">
        <v>180</v>
      </c>
      <c r="C47" s="99" t="s">
        <v>11</v>
      </c>
      <c r="D47" s="119"/>
      <c r="E47" s="129" t="s">
        <v>10</v>
      </c>
      <c r="F47" s="130" t="s">
        <v>9</v>
      </c>
      <c r="G47" s="129" t="s">
        <v>8</v>
      </c>
      <c r="H47" s="130" t="s">
        <v>7</v>
      </c>
      <c r="I47" s="129" t="s">
        <v>6</v>
      </c>
      <c r="J47" s="130" t="s">
        <v>5</v>
      </c>
      <c r="K47" s="129" t="s">
        <v>4</v>
      </c>
      <c r="L47" s="130" t="s">
        <v>3</v>
      </c>
      <c r="M47" s="129" t="s">
        <v>3</v>
      </c>
    </row>
    <row r="48" spans="1:22" x14ac:dyDescent="0.25">
      <c r="A48" s="94"/>
      <c r="B48" s="118" t="s">
        <v>182</v>
      </c>
      <c r="C48" s="99" t="s">
        <v>0</v>
      </c>
      <c r="D48" s="119"/>
      <c r="E48" s="131">
        <v>11</v>
      </c>
      <c r="F48" s="132">
        <v>11.9</v>
      </c>
      <c r="G48" s="131">
        <v>15</v>
      </c>
      <c r="H48" s="132">
        <v>16</v>
      </c>
      <c r="I48" s="131">
        <v>17.399999999999999</v>
      </c>
      <c r="J48" s="132">
        <v>22.1</v>
      </c>
      <c r="K48" s="131">
        <v>24</v>
      </c>
      <c r="L48" s="132">
        <v>29.2</v>
      </c>
      <c r="M48" s="131">
        <v>30.4</v>
      </c>
    </row>
    <row r="49" spans="1:13" x14ac:dyDescent="0.25">
      <c r="A49" s="94"/>
      <c r="B49" s="118" t="s">
        <v>181</v>
      </c>
      <c r="C49" s="99" t="s">
        <v>0</v>
      </c>
      <c r="D49" s="119"/>
      <c r="E49" s="131">
        <v>12.2</v>
      </c>
      <c r="F49" s="132">
        <v>13.3</v>
      </c>
      <c r="G49" s="131">
        <v>16.600000000000001</v>
      </c>
      <c r="H49" s="132">
        <v>17.7</v>
      </c>
      <c r="I49" s="131">
        <v>19.2</v>
      </c>
      <c r="J49" s="132">
        <v>24.4</v>
      </c>
      <c r="K49" s="131">
        <v>26.3</v>
      </c>
      <c r="L49" s="132">
        <v>32.200000000000003</v>
      </c>
      <c r="M49" s="131">
        <v>33.4</v>
      </c>
    </row>
  </sheetData>
  <sheetProtection algorithmName="SHA-512" hashValue="t6NxVYcuUamMDUq01hCqs7oVHz5qBAIrUWLeyDQ+mOsSxTwmG1flvHFpou0k/fVAasW12cfJb2Us+Ch0XKSODQ==" saltValue="uQi1dHsj0g7CFPl6b9F+Pw==" spinCount="100000" sheet="1" objects="1" scenarios="1" formatCells="0" formatColumns="0" formatRows="0" insertColumns="0" insertRows="0" insertHyperlinks="0" deleteColumns="0" deleteRows="0"/>
  <mergeCells count="37">
    <mergeCell ref="F6:I7"/>
    <mergeCell ref="F8:I8"/>
    <mergeCell ref="F10:G10"/>
    <mergeCell ref="H10:I10"/>
    <mergeCell ref="B12:D12"/>
    <mergeCell ref="B13:B15"/>
    <mergeCell ref="C13:C15"/>
    <mergeCell ref="B16:B18"/>
    <mergeCell ref="C16:C18"/>
    <mergeCell ref="B19:B21"/>
    <mergeCell ref="C19:C21"/>
    <mergeCell ref="B22:B24"/>
    <mergeCell ref="C22:C24"/>
    <mergeCell ref="E25:M25"/>
    <mergeCell ref="B26:B28"/>
    <mergeCell ref="C26:C28"/>
    <mergeCell ref="B29:B31"/>
    <mergeCell ref="C29:C31"/>
    <mergeCell ref="B32:B34"/>
    <mergeCell ref="C32:C34"/>
    <mergeCell ref="E38:M38"/>
    <mergeCell ref="B36:B37"/>
    <mergeCell ref="C36:C37"/>
    <mergeCell ref="B39:D39"/>
    <mergeCell ref="E39:M39"/>
    <mergeCell ref="B40:D40"/>
    <mergeCell ref="E40:M40"/>
    <mergeCell ref="B41:D41"/>
    <mergeCell ref="E41:M41"/>
    <mergeCell ref="B45:D45"/>
    <mergeCell ref="E45:M45"/>
    <mergeCell ref="B42:D42"/>
    <mergeCell ref="E42:M42"/>
    <mergeCell ref="B43:D43"/>
    <mergeCell ref="E43:M43"/>
    <mergeCell ref="B44:D44"/>
    <mergeCell ref="E44:M44"/>
  </mergeCells>
  <conditionalFormatting sqref="E16:M21">
    <cfRule type="cellIs" dxfId="10" priority="2" operator="between">
      <formula>$V$4</formula>
      <formula>$V$5</formula>
    </cfRule>
  </conditionalFormatting>
  <conditionalFormatting sqref="E22:M24">
    <cfRule type="cellIs" dxfId="9" priority="1" operator="between">
      <formula>$V$4</formula>
      <formula>$V$5</formula>
    </cfRule>
  </conditionalFormatting>
  <printOptions horizontalCentered="1"/>
  <pageMargins left="0.78740157480314965" right="0.39370078740157483" top="0.35433070866141736" bottom="0.35433070866141736" header="0.31496062992125984" footer="0.31496062992125984"/>
  <pageSetup scale="49" orientation="portrait" r:id="rId1"/>
  <ignoredErrors>
    <ignoredError sqref="E13:M15 E17:F18 E16:F16 H16:M16 E20:M24 E19:F19 H19:M19 E35:M35 H17:M18 G17:G18 G16 G19 E26:M32 F25:M25"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2BCD-4280-480A-87EB-C40DD50939FC}">
  <dimension ref="A1:V95"/>
  <sheetViews>
    <sheetView showGridLines="0" zoomScale="70" zoomScaleNormal="70" zoomScaleSheetLayoutView="90" workbookViewId="0">
      <selection activeCell="M3" sqref="M3"/>
    </sheetView>
  </sheetViews>
  <sheetFormatPr defaultColWidth="8.77734375" defaultRowHeight="17.399999999999999" x14ac:dyDescent="0.25"/>
  <cols>
    <col min="1" max="1" width="5.44140625" style="62" customWidth="1"/>
    <col min="2" max="2" width="30.44140625" style="62" customWidth="1"/>
    <col min="3" max="3" width="7.109375" style="63" bestFit="1" customWidth="1"/>
    <col min="4" max="4" width="11.44140625" style="63" customWidth="1"/>
    <col min="5" max="5" width="21.6640625" style="64" customWidth="1"/>
    <col min="6" max="6" width="22.109375" style="64" customWidth="1"/>
    <col min="7" max="7" width="23.6640625" style="64" customWidth="1"/>
    <col min="8" max="8" width="23.109375" style="64" customWidth="1"/>
    <col min="9" max="9" width="25" style="64" customWidth="1"/>
    <col min="10" max="10" width="23.33203125" style="64" customWidth="1"/>
    <col min="11" max="11" width="22.109375" style="64" customWidth="1"/>
    <col min="12" max="13" width="23" style="64" customWidth="1"/>
    <col min="14" max="14" width="10.109375" style="2" customWidth="1"/>
    <col min="15" max="17" width="10.109375" style="60" customWidth="1"/>
    <col min="18" max="18" width="6.6640625" style="61" bestFit="1" customWidth="1"/>
    <col min="19" max="19" width="9.109375" style="60" customWidth="1"/>
    <col min="20" max="20" width="7.6640625" style="60" customWidth="1"/>
    <col min="21" max="21" width="19.6640625" style="60" hidden="1" customWidth="1"/>
    <col min="22" max="22" width="9.109375" style="60" hidden="1" customWidth="1"/>
    <col min="23" max="16384" width="8.77734375" style="62"/>
  </cols>
  <sheetData>
    <row r="1" spans="1:22" ht="17.399999999999999" customHeight="1" x14ac:dyDescent="0.25">
      <c r="A1" s="94"/>
      <c r="B1" s="139"/>
      <c r="C1" s="139"/>
      <c r="D1" s="139"/>
      <c r="E1" s="140"/>
      <c r="F1" s="140"/>
      <c r="G1" s="140"/>
      <c r="H1" s="140"/>
      <c r="I1" s="140"/>
      <c r="J1" s="140"/>
      <c r="K1" s="140"/>
      <c r="L1" s="140"/>
      <c r="M1" s="59"/>
    </row>
    <row r="2" spans="1:22" ht="17.399999999999999" customHeight="1" x14ac:dyDescent="0.25">
      <c r="A2" s="94"/>
      <c r="B2" s="94"/>
      <c r="C2" s="95"/>
      <c r="D2" s="95"/>
      <c r="E2" s="89"/>
      <c r="F2" s="89"/>
      <c r="G2" s="89"/>
      <c r="H2" s="89"/>
      <c r="I2" s="89"/>
      <c r="J2" s="89"/>
      <c r="K2" s="89"/>
      <c r="L2" s="89"/>
      <c r="T2" s="67"/>
      <c r="U2" s="61" t="s">
        <v>42</v>
      </c>
      <c r="V2" s="65">
        <f>M3-M4</f>
        <v>-5</v>
      </c>
    </row>
    <row r="3" spans="1:22" ht="17.399999999999999" customHeight="1" x14ac:dyDescent="0.25">
      <c r="A3" s="94"/>
      <c r="B3" s="94"/>
      <c r="C3" s="95"/>
      <c r="D3" s="95"/>
      <c r="E3" s="89"/>
      <c r="F3" s="89"/>
      <c r="G3" s="89"/>
      <c r="H3" s="89"/>
      <c r="I3" s="89"/>
      <c r="J3" s="89"/>
      <c r="K3" s="91"/>
      <c r="L3" s="91" t="s">
        <v>149</v>
      </c>
      <c r="M3" s="5">
        <v>7</v>
      </c>
      <c r="N3" s="66"/>
      <c r="U3" s="61" t="s">
        <v>41</v>
      </c>
      <c r="V3" s="65">
        <f>IF((M5-(M4+M3)/2)&lt;0, 0-(M5-(M4+M3)/2),(M5-(M4+M3)/2))</f>
        <v>17.5</v>
      </c>
    </row>
    <row r="4" spans="1:22" ht="17.399999999999999" customHeight="1" x14ac:dyDescent="0.25">
      <c r="A4" s="94"/>
      <c r="B4" s="94"/>
      <c r="C4" s="95"/>
      <c r="D4" s="95"/>
      <c r="E4" s="89"/>
      <c r="F4" s="89"/>
      <c r="G4" s="89"/>
      <c r="H4" s="89"/>
      <c r="I4" s="89"/>
      <c r="J4" s="89"/>
      <c r="K4" s="91"/>
      <c r="L4" s="91" t="s">
        <v>150</v>
      </c>
      <c r="M4" s="5">
        <v>12</v>
      </c>
      <c r="V4" s="68">
        <f>IF(M7*(1-$M$9)=0,0.00001,M7*(1-$M$9))</f>
        <v>2450</v>
      </c>
    </row>
    <row r="5" spans="1:22" ht="17.399999999999999" customHeight="1" x14ac:dyDescent="0.25">
      <c r="A5" s="94"/>
      <c r="B5" s="94"/>
      <c r="C5" s="141"/>
      <c r="D5" s="141"/>
      <c r="E5" s="142"/>
      <c r="F5" s="89"/>
      <c r="G5" s="89"/>
      <c r="H5" s="89"/>
      <c r="I5" s="89"/>
      <c r="J5" s="142"/>
      <c r="K5" s="91"/>
      <c r="L5" s="91" t="s">
        <v>151</v>
      </c>
      <c r="M5" s="5">
        <v>27</v>
      </c>
      <c r="N5" s="69"/>
      <c r="V5" s="68">
        <f>IF(M7*(1+$M$8)=0,0.00001,M7*(1+$M$8))</f>
        <v>2875</v>
      </c>
    </row>
    <row r="6" spans="1:22" ht="17.399999999999999" customHeight="1" x14ac:dyDescent="0.25">
      <c r="A6" s="94"/>
      <c r="B6" s="94"/>
      <c r="C6" s="143"/>
      <c r="D6" s="143"/>
      <c r="E6" s="144"/>
      <c r="F6" s="89"/>
      <c r="G6" s="195" t="s">
        <v>189</v>
      </c>
      <c r="H6" s="195"/>
      <c r="I6" s="195"/>
      <c r="J6" s="195"/>
      <c r="K6" s="91"/>
      <c r="L6" s="92"/>
      <c r="M6" s="2"/>
    </row>
    <row r="7" spans="1:22" ht="17.399999999999999" customHeight="1" x14ac:dyDescent="0.25">
      <c r="A7" s="94"/>
      <c r="B7" s="94"/>
      <c r="C7" s="146"/>
      <c r="D7" s="146"/>
      <c r="E7" s="147"/>
      <c r="F7" s="145"/>
      <c r="G7" s="195"/>
      <c r="H7" s="195"/>
      <c r="I7" s="195"/>
      <c r="J7" s="195"/>
      <c r="K7" s="91"/>
      <c r="L7" s="91" t="s">
        <v>152</v>
      </c>
      <c r="M7" s="4">
        <v>2500</v>
      </c>
      <c r="S7" s="61"/>
      <c r="T7" s="61"/>
    </row>
    <row r="8" spans="1:22" ht="17.399999999999999" customHeight="1" x14ac:dyDescent="0.25">
      <c r="A8" s="94"/>
      <c r="B8" s="94"/>
      <c r="C8" s="133"/>
      <c r="D8" s="133"/>
      <c r="E8" s="134"/>
      <c r="F8" s="89"/>
      <c r="G8" s="196" t="s">
        <v>146</v>
      </c>
      <c r="H8" s="196"/>
      <c r="I8" s="196"/>
      <c r="J8" s="196"/>
      <c r="K8" s="91"/>
      <c r="L8" s="91" t="s">
        <v>153</v>
      </c>
      <c r="M8" s="6">
        <v>0.15</v>
      </c>
      <c r="O8" s="62"/>
      <c r="P8" s="62"/>
      <c r="Q8" s="62"/>
    </row>
    <row r="9" spans="1:22" ht="17.399999999999999" customHeight="1" thickBot="1" x14ac:dyDescent="0.3">
      <c r="A9" s="94"/>
      <c r="B9" s="94"/>
      <c r="C9" s="95"/>
      <c r="D9" s="94"/>
      <c r="E9" s="89"/>
      <c r="F9" s="89"/>
      <c r="G9" s="89"/>
      <c r="H9" s="89"/>
      <c r="I9" s="89"/>
      <c r="J9" s="89"/>
      <c r="K9" s="91"/>
      <c r="L9" s="91" t="s">
        <v>154</v>
      </c>
      <c r="M9" s="6">
        <v>0.02</v>
      </c>
      <c r="O9" s="67"/>
      <c r="P9" s="61"/>
      <c r="Q9" s="3"/>
    </row>
    <row r="10" spans="1:22" ht="17.399999999999999" customHeight="1" thickBot="1" x14ac:dyDescent="0.3">
      <c r="A10" s="94"/>
      <c r="B10" s="94"/>
      <c r="C10" s="95"/>
      <c r="D10" s="94"/>
      <c r="E10" s="89"/>
      <c r="F10" s="89"/>
      <c r="G10" s="187" t="s">
        <v>147</v>
      </c>
      <c r="H10" s="188"/>
      <c r="I10" s="187" t="s">
        <v>190</v>
      </c>
      <c r="J10" s="188"/>
      <c r="K10" s="92"/>
      <c r="L10" s="91"/>
      <c r="M10" s="1"/>
      <c r="O10" s="67"/>
      <c r="P10" s="61"/>
      <c r="Q10" s="3"/>
    </row>
    <row r="11" spans="1:22" ht="17.399999999999999" customHeight="1" x14ac:dyDescent="0.25">
      <c r="A11" s="94"/>
      <c r="B11" s="94"/>
      <c r="C11" s="95"/>
      <c r="D11" s="95"/>
      <c r="E11" s="89"/>
      <c r="F11" s="89"/>
      <c r="G11" s="89"/>
      <c r="H11" s="89"/>
      <c r="I11" s="89"/>
      <c r="J11" s="89"/>
      <c r="K11" s="89"/>
      <c r="L11" s="89"/>
      <c r="O11" s="67"/>
      <c r="P11" s="61"/>
      <c r="Q11" s="3"/>
    </row>
    <row r="12" spans="1:22" s="76" customFormat="1" ht="35.4" customHeight="1" x14ac:dyDescent="0.25">
      <c r="A12" s="151"/>
      <c r="B12" s="181" t="s">
        <v>155</v>
      </c>
      <c r="C12" s="182"/>
      <c r="D12" s="183"/>
      <c r="E12" s="96" t="s">
        <v>109</v>
      </c>
      <c r="F12" s="97" t="s">
        <v>110</v>
      </c>
      <c r="G12" s="96" t="s">
        <v>111</v>
      </c>
      <c r="H12" s="97" t="s">
        <v>112</v>
      </c>
      <c r="I12" s="96" t="s">
        <v>113</v>
      </c>
      <c r="J12" s="97" t="s">
        <v>114</v>
      </c>
      <c r="K12" s="96" t="s">
        <v>115</v>
      </c>
      <c r="L12" s="97" t="s">
        <v>116</v>
      </c>
      <c r="M12" s="96" t="s">
        <v>117</v>
      </c>
      <c r="N12" s="74"/>
      <c r="O12" s="60"/>
      <c r="P12" s="75"/>
      <c r="Q12" s="75"/>
      <c r="R12" s="61"/>
    </row>
    <row r="13" spans="1:22" x14ac:dyDescent="0.25">
      <c r="A13" s="94"/>
      <c r="B13" s="165" t="s">
        <v>159</v>
      </c>
      <c r="C13" s="167" t="s">
        <v>39</v>
      </c>
      <c r="D13" s="99" t="s">
        <v>156</v>
      </c>
      <c r="E13" s="88">
        <v>340</v>
      </c>
      <c r="F13" s="100">
        <v>510</v>
      </c>
      <c r="G13" s="88">
        <v>680</v>
      </c>
      <c r="H13" s="100">
        <v>850</v>
      </c>
      <c r="I13" s="88">
        <v>1020</v>
      </c>
      <c r="J13" s="100">
        <v>1360</v>
      </c>
      <c r="K13" s="88">
        <v>1700</v>
      </c>
      <c r="L13" s="100">
        <v>2040</v>
      </c>
      <c r="M13" s="88">
        <v>2380</v>
      </c>
      <c r="N13" s="74"/>
      <c r="O13" s="77"/>
      <c r="P13" s="78"/>
      <c r="Q13" s="77"/>
      <c r="R13" s="79"/>
      <c r="S13" s="80"/>
      <c r="T13" s="80"/>
      <c r="U13" s="80"/>
    </row>
    <row r="14" spans="1:22" x14ac:dyDescent="0.25">
      <c r="A14" s="94"/>
      <c r="B14" s="165"/>
      <c r="C14" s="168"/>
      <c r="D14" s="99" t="s">
        <v>157</v>
      </c>
      <c r="E14" s="88">
        <v>255</v>
      </c>
      <c r="F14" s="100">
        <v>382</v>
      </c>
      <c r="G14" s="88">
        <v>510</v>
      </c>
      <c r="H14" s="100">
        <v>637</v>
      </c>
      <c r="I14" s="88">
        <v>765</v>
      </c>
      <c r="J14" s="100">
        <v>1122</v>
      </c>
      <c r="K14" s="88">
        <v>1402</v>
      </c>
      <c r="L14" s="100">
        <v>1683</v>
      </c>
      <c r="M14" s="88">
        <v>1927</v>
      </c>
      <c r="N14" s="74"/>
      <c r="O14" s="77"/>
      <c r="P14" s="78"/>
      <c r="Q14" s="77"/>
      <c r="R14" s="79"/>
      <c r="S14" s="80"/>
      <c r="T14" s="80"/>
      <c r="U14" s="80"/>
    </row>
    <row r="15" spans="1:22" ht="18" thickBot="1" x14ac:dyDescent="0.3">
      <c r="A15" s="94"/>
      <c r="B15" s="213"/>
      <c r="C15" s="180"/>
      <c r="D15" s="110" t="s">
        <v>158</v>
      </c>
      <c r="E15" s="155">
        <v>170</v>
      </c>
      <c r="F15" s="156">
        <v>255</v>
      </c>
      <c r="G15" s="155">
        <v>340</v>
      </c>
      <c r="H15" s="156">
        <v>425</v>
      </c>
      <c r="I15" s="155">
        <v>510</v>
      </c>
      <c r="J15" s="156">
        <v>850</v>
      </c>
      <c r="K15" s="155">
        <v>1062</v>
      </c>
      <c r="L15" s="156">
        <v>1275</v>
      </c>
      <c r="M15" s="155">
        <v>1487</v>
      </c>
      <c r="N15" s="74"/>
      <c r="O15" s="77"/>
      <c r="P15" s="78"/>
      <c r="Q15" s="77"/>
      <c r="R15" s="79"/>
      <c r="S15" s="81"/>
      <c r="T15" s="82"/>
      <c r="U15" s="82"/>
      <c r="V15" s="71"/>
    </row>
    <row r="16" spans="1:22" ht="17.399999999999999" customHeight="1" x14ac:dyDescent="0.25">
      <c r="A16" s="94"/>
      <c r="B16" s="176" t="s">
        <v>160</v>
      </c>
      <c r="C16" s="179" t="s">
        <v>38</v>
      </c>
      <c r="D16" s="103" t="s">
        <v>156</v>
      </c>
      <c r="E16" s="104">
        <f>IF($V$2&gt;0,"",IF($V$3&gt;13.5,278.04*$V$3-2673.3,E19))</f>
        <v>2192.4000000000005</v>
      </c>
      <c r="F16" s="105">
        <f>IF($V$2&gt;0,"",IF($V$3&gt;13.5,413.59*$V$3-4106.2,F19))</f>
        <v>3131.625</v>
      </c>
      <c r="G16" s="104">
        <f>IF($V$2&gt;0,"",IF($V$3&gt;13.5,546.05*$V$3-5428,G19))</f>
        <v>4127.875</v>
      </c>
      <c r="H16" s="105">
        <f>IF($V$2&gt;0,"",IF($V$3&gt;13.5,627.08*$V$3-6221.7,H19))</f>
        <v>4752.2000000000016</v>
      </c>
      <c r="I16" s="104">
        <f>IF($V$2&gt;0,"",IF($V$3&gt;13.5,815.16*$V$3-8123.6,I19))</f>
        <v>6141.6999999999989</v>
      </c>
      <c r="J16" s="105">
        <f>IF($V$2&gt;0,"",IF($V$3&gt;13.5,1092.2*$V$3-10933,J19))</f>
        <v>8180.5</v>
      </c>
      <c r="K16" s="104">
        <f>IF($V$2&gt;0,"",IF($V$3&gt;13.5,1251.4*$V$3-12564,K19))</f>
        <v>9335.5</v>
      </c>
      <c r="L16" s="105">
        <f>IF($V$2&gt;0,"",IF($V$3&gt;13.5,1379*$V$3-12493,L19))</f>
        <v>11639.5</v>
      </c>
      <c r="M16" s="106">
        <f>IF($V$2&gt;0,"",IF($V$3&gt;13.5,1604.7*$V$3-15579,M19))</f>
        <v>12503.25</v>
      </c>
      <c r="O16" s="77"/>
      <c r="P16" s="78"/>
      <c r="Q16" s="83"/>
      <c r="R16" s="79"/>
      <c r="S16" s="80"/>
      <c r="T16" s="80"/>
      <c r="U16" s="80"/>
    </row>
    <row r="17" spans="1:21" s="60" customFormat="1" x14ac:dyDescent="0.25">
      <c r="A17" s="150"/>
      <c r="B17" s="177"/>
      <c r="C17" s="168"/>
      <c r="D17" s="99" t="s">
        <v>157</v>
      </c>
      <c r="E17" s="107">
        <f>IFERROR(ROUND(E16*0.86,0),"")</f>
        <v>1885</v>
      </c>
      <c r="F17" s="108">
        <f t="shared" ref="F17:M17" si="0">IFERROR(ROUND(F16*0.86,0),"")</f>
        <v>2693</v>
      </c>
      <c r="G17" s="107">
        <f t="shared" si="0"/>
        <v>3550</v>
      </c>
      <c r="H17" s="108">
        <f t="shared" si="0"/>
        <v>4087</v>
      </c>
      <c r="I17" s="107">
        <f t="shared" si="0"/>
        <v>5282</v>
      </c>
      <c r="J17" s="108">
        <f t="shared" si="0"/>
        <v>7035</v>
      </c>
      <c r="K17" s="107">
        <f t="shared" si="0"/>
        <v>8029</v>
      </c>
      <c r="L17" s="108">
        <f t="shared" si="0"/>
        <v>10010</v>
      </c>
      <c r="M17" s="109">
        <f t="shared" si="0"/>
        <v>10753</v>
      </c>
      <c r="N17" s="72"/>
      <c r="O17" s="77"/>
      <c r="P17" s="78"/>
      <c r="Q17" s="83"/>
      <c r="R17" s="79"/>
      <c r="S17" s="80"/>
      <c r="T17" s="80"/>
      <c r="U17" s="80"/>
    </row>
    <row r="18" spans="1:21" s="60" customFormat="1" ht="18" thickBot="1" x14ac:dyDescent="0.3">
      <c r="A18" s="150"/>
      <c r="B18" s="178"/>
      <c r="C18" s="180"/>
      <c r="D18" s="110" t="s">
        <v>158</v>
      </c>
      <c r="E18" s="111">
        <f>IFERROR(ROUND(E16*0.63,0),"")</f>
        <v>1381</v>
      </c>
      <c r="F18" s="112">
        <f t="shared" ref="F18:M18" si="1">IFERROR(ROUND(F16*0.63,0),"")</f>
        <v>1973</v>
      </c>
      <c r="G18" s="111">
        <f t="shared" si="1"/>
        <v>2601</v>
      </c>
      <c r="H18" s="112">
        <f t="shared" si="1"/>
        <v>2994</v>
      </c>
      <c r="I18" s="111">
        <f t="shared" si="1"/>
        <v>3869</v>
      </c>
      <c r="J18" s="112">
        <f t="shared" si="1"/>
        <v>5154</v>
      </c>
      <c r="K18" s="111">
        <f t="shared" si="1"/>
        <v>5881</v>
      </c>
      <c r="L18" s="112">
        <f t="shared" si="1"/>
        <v>7333</v>
      </c>
      <c r="M18" s="113">
        <f t="shared" si="1"/>
        <v>7877</v>
      </c>
      <c r="N18" s="72"/>
      <c r="O18" s="77"/>
      <c r="P18" s="78"/>
      <c r="Q18" s="83"/>
      <c r="R18" s="79"/>
      <c r="S18" s="80"/>
      <c r="T18" s="80"/>
      <c r="U18" s="80"/>
    </row>
    <row r="19" spans="1:21" s="60" customFormat="1" ht="17.399999999999999" customHeight="1" x14ac:dyDescent="0.25">
      <c r="A19" s="150"/>
      <c r="B19" s="176" t="s">
        <v>161</v>
      </c>
      <c r="C19" s="179" t="s">
        <v>38</v>
      </c>
      <c r="D19" s="103" t="s">
        <v>156</v>
      </c>
      <c r="E19" s="104">
        <f>IF($V$2&lt;0,106.7*$V$3-250.47,"")</f>
        <v>1616.78</v>
      </c>
      <c r="F19" s="105">
        <f>IF($V$2&lt;0,153.59*$V$3-373.72,"")</f>
        <v>2314.1050000000005</v>
      </c>
      <c r="G19" s="104">
        <f>IF($V$2&lt;0,203.16*$V$3-517.25,"")</f>
        <v>3038.0499999999997</v>
      </c>
      <c r="H19" s="105">
        <f>IF($V$2&lt;0,235.8*$V$3-626.62,"")</f>
        <v>3499.88</v>
      </c>
      <c r="I19" s="104">
        <f>IF($V$2&lt;0,302.79*$V$3-727.94,"")</f>
        <v>4570.8850000000002</v>
      </c>
      <c r="J19" s="105">
        <f>IF($V$2&lt;0,403.26*$V$3-1025.3,"")</f>
        <v>6031.75</v>
      </c>
      <c r="K19" s="104">
        <f>IF($V$2&lt;0,467.07*$V$3-1259.8,"")</f>
        <v>6913.9249999999993</v>
      </c>
      <c r="L19" s="105">
        <f>IF($V$2&lt;0,531.33*$V$3-1012,"")</f>
        <v>8286.2750000000015</v>
      </c>
      <c r="M19" s="106">
        <f>IF($V$2&lt;0,614.34*$V$3-1545.7,"")</f>
        <v>9205.25</v>
      </c>
      <c r="N19" s="72"/>
      <c r="O19" s="83"/>
      <c r="P19" s="78"/>
      <c r="Q19" s="83"/>
      <c r="R19" s="79"/>
      <c r="S19" s="80"/>
      <c r="T19" s="80"/>
      <c r="U19" s="80"/>
    </row>
    <row r="20" spans="1:21" s="60" customFormat="1" x14ac:dyDescent="0.25">
      <c r="A20" s="150"/>
      <c r="B20" s="177"/>
      <c r="C20" s="168"/>
      <c r="D20" s="99" t="s">
        <v>157</v>
      </c>
      <c r="E20" s="107">
        <f>IFERROR(ROUND(E19*0.86,0),"")</f>
        <v>1390</v>
      </c>
      <c r="F20" s="108">
        <f t="shared" ref="F20:M20" si="2">IFERROR(ROUND(F19*0.86,0),"")</f>
        <v>1990</v>
      </c>
      <c r="G20" s="107">
        <f t="shared" si="2"/>
        <v>2613</v>
      </c>
      <c r="H20" s="108">
        <f t="shared" si="2"/>
        <v>3010</v>
      </c>
      <c r="I20" s="107">
        <f t="shared" si="2"/>
        <v>3931</v>
      </c>
      <c r="J20" s="108">
        <f t="shared" si="2"/>
        <v>5187</v>
      </c>
      <c r="K20" s="107">
        <f t="shared" si="2"/>
        <v>5946</v>
      </c>
      <c r="L20" s="108">
        <f t="shared" si="2"/>
        <v>7126</v>
      </c>
      <c r="M20" s="109">
        <f t="shared" si="2"/>
        <v>7917</v>
      </c>
      <c r="N20" s="72"/>
      <c r="O20" s="83"/>
      <c r="P20" s="78"/>
      <c r="Q20" s="83"/>
      <c r="R20" s="79"/>
      <c r="S20" s="80"/>
      <c r="T20" s="80"/>
      <c r="U20" s="80"/>
    </row>
    <row r="21" spans="1:21" s="60" customFormat="1" ht="18" thickBot="1" x14ac:dyDescent="0.3">
      <c r="A21" s="150"/>
      <c r="B21" s="178"/>
      <c r="C21" s="180"/>
      <c r="D21" s="110" t="s">
        <v>158</v>
      </c>
      <c r="E21" s="111">
        <f>IFERROR(ROUND(E19*0.63,0),"")</f>
        <v>1019</v>
      </c>
      <c r="F21" s="112">
        <f t="shared" ref="F21:M21" si="3">IFERROR(ROUND(F19*0.63,0),"")</f>
        <v>1458</v>
      </c>
      <c r="G21" s="111">
        <f t="shared" si="3"/>
        <v>1914</v>
      </c>
      <c r="H21" s="112">
        <f t="shared" si="3"/>
        <v>2205</v>
      </c>
      <c r="I21" s="111">
        <f t="shared" si="3"/>
        <v>2880</v>
      </c>
      <c r="J21" s="112">
        <f t="shared" si="3"/>
        <v>3800</v>
      </c>
      <c r="K21" s="111">
        <f t="shared" si="3"/>
        <v>4356</v>
      </c>
      <c r="L21" s="112">
        <f t="shared" si="3"/>
        <v>5220</v>
      </c>
      <c r="M21" s="113">
        <f t="shared" si="3"/>
        <v>5799</v>
      </c>
      <c r="N21" s="72"/>
      <c r="O21" s="83"/>
      <c r="P21" s="78"/>
      <c r="Q21" s="83"/>
      <c r="R21" s="79"/>
      <c r="S21" s="80"/>
      <c r="T21" s="80"/>
      <c r="U21" s="80"/>
    </row>
    <row r="22" spans="1:21" s="60" customFormat="1" ht="17.399999999999999" customHeight="1" x14ac:dyDescent="0.25">
      <c r="A22" s="150"/>
      <c r="B22" s="176" t="s">
        <v>162</v>
      </c>
      <c r="C22" s="179" t="s">
        <v>38</v>
      </c>
      <c r="D22" s="103" t="s">
        <v>156</v>
      </c>
      <c r="E22" s="104" t="str">
        <f>IF($V$2&gt;0,67*$V$3-580,"")</f>
        <v/>
      </c>
      <c r="F22" s="105" t="str">
        <f>IF($V$2&gt;0,90.5*$V$3-800,"")</f>
        <v/>
      </c>
      <c r="G22" s="104" t="str">
        <f>IF($V$2&gt;0,125.5*$V$3-1060,"")</f>
        <v/>
      </c>
      <c r="H22" s="105" t="str">
        <f>IF($V$2&gt;0,152*$V$3-1170,"")</f>
        <v/>
      </c>
      <c r="I22" s="104" t="str">
        <f>IF($V$2&gt;0,205*$V$3-1720,"")</f>
        <v/>
      </c>
      <c r="J22" s="105" t="str">
        <f>IF($V$2&gt;0,227.5*$V$3-2030,"")</f>
        <v/>
      </c>
      <c r="K22" s="104" t="str">
        <f>IF($V$2&gt;0,276*$V$3-2310,"")</f>
        <v/>
      </c>
      <c r="L22" s="105" t="str">
        <f>IF($V$2&gt;0,288*$V$3-1780,"")</f>
        <v/>
      </c>
      <c r="M22" s="106" t="str">
        <f>IF($V$2&gt;0,390*$V$3-3380,"")</f>
        <v/>
      </c>
      <c r="N22" s="72"/>
      <c r="O22" s="83"/>
      <c r="P22" s="78"/>
      <c r="Q22" s="83"/>
      <c r="R22" s="79"/>
      <c r="S22" s="80"/>
      <c r="T22" s="80"/>
      <c r="U22" s="80"/>
    </row>
    <row r="23" spans="1:21" s="60" customFormat="1" x14ac:dyDescent="0.25">
      <c r="A23" s="150"/>
      <c r="B23" s="177"/>
      <c r="C23" s="168"/>
      <c r="D23" s="99" t="s">
        <v>157</v>
      </c>
      <c r="E23" s="107" t="str">
        <f t="shared" ref="E23:M23" si="4">IFERROR(ROUND(E22*0.86,0),"")</f>
        <v/>
      </c>
      <c r="F23" s="108" t="str">
        <f t="shared" si="4"/>
        <v/>
      </c>
      <c r="G23" s="107" t="str">
        <f t="shared" si="4"/>
        <v/>
      </c>
      <c r="H23" s="108" t="str">
        <f t="shared" si="4"/>
        <v/>
      </c>
      <c r="I23" s="107" t="str">
        <f t="shared" si="4"/>
        <v/>
      </c>
      <c r="J23" s="108" t="str">
        <f t="shared" si="4"/>
        <v/>
      </c>
      <c r="K23" s="107" t="str">
        <f t="shared" si="4"/>
        <v/>
      </c>
      <c r="L23" s="108" t="str">
        <f t="shared" si="4"/>
        <v/>
      </c>
      <c r="M23" s="109" t="str">
        <f t="shared" si="4"/>
        <v/>
      </c>
      <c r="N23" s="72"/>
      <c r="O23" s="83"/>
      <c r="Q23" s="83"/>
      <c r="R23" s="79"/>
      <c r="S23" s="80"/>
      <c r="T23" s="80"/>
      <c r="U23" s="80"/>
    </row>
    <row r="24" spans="1:21" s="60" customFormat="1" ht="18" thickBot="1" x14ac:dyDescent="0.3">
      <c r="A24" s="150"/>
      <c r="B24" s="178"/>
      <c r="C24" s="180"/>
      <c r="D24" s="110" t="s">
        <v>158</v>
      </c>
      <c r="E24" s="111" t="str">
        <f t="shared" ref="E24:M24" si="5">IFERROR(ROUND(E22*0.73,0),"")</f>
        <v/>
      </c>
      <c r="F24" s="112" t="str">
        <f t="shared" si="5"/>
        <v/>
      </c>
      <c r="G24" s="111" t="str">
        <f t="shared" si="5"/>
        <v/>
      </c>
      <c r="H24" s="112" t="str">
        <f t="shared" si="5"/>
        <v/>
      </c>
      <c r="I24" s="111" t="str">
        <f t="shared" si="5"/>
        <v/>
      </c>
      <c r="J24" s="112" t="str">
        <f t="shared" si="5"/>
        <v/>
      </c>
      <c r="K24" s="111" t="str">
        <f t="shared" si="5"/>
        <v/>
      </c>
      <c r="L24" s="112" t="str">
        <f t="shared" si="5"/>
        <v/>
      </c>
      <c r="M24" s="113" t="str">
        <f t="shared" si="5"/>
        <v/>
      </c>
      <c r="N24" s="72"/>
      <c r="O24" s="83"/>
      <c r="Q24" s="83"/>
      <c r="R24" s="79"/>
      <c r="S24" s="80"/>
      <c r="T24" s="80"/>
      <c r="U24" s="80"/>
    </row>
    <row r="25" spans="1:21" s="60" customFormat="1" x14ac:dyDescent="0.25">
      <c r="A25" s="150"/>
      <c r="B25" s="189" t="s">
        <v>163</v>
      </c>
      <c r="C25" s="190"/>
      <c r="D25" s="191"/>
      <c r="E25" s="159" t="s">
        <v>197</v>
      </c>
      <c r="F25" s="159"/>
      <c r="G25" s="159"/>
      <c r="H25" s="159"/>
      <c r="I25" s="159"/>
      <c r="J25" s="159"/>
      <c r="K25" s="159"/>
      <c r="L25" s="159"/>
      <c r="M25" s="159"/>
      <c r="N25" s="74"/>
      <c r="O25" s="83"/>
      <c r="Q25" s="84"/>
      <c r="R25" s="79"/>
      <c r="S25" s="80"/>
      <c r="T25" s="80"/>
      <c r="U25" s="80"/>
    </row>
    <row r="26" spans="1:21" s="60" customFormat="1" x14ac:dyDescent="0.25">
      <c r="A26" s="150"/>
      <c r="B26" s="165" t="s">
        <v>164</v>
      </c>
      <c r="C26" s="167" t="s">
        <v>36</v>
      </c>
      <c r="D26" s="99" t="s">
        <v>33</v>
      </c>
      <c r="E26" s="88">
        <v>28</v>
      </c>
      <c r="F26" s="100">
        <v>34</v>
      </c>
      <c r="G26" s="88">
        <v>55</v>
      </c>
      <c r="H26" s="100">
        <v>68</v>
      </c>
      <c r="I26" s="88">
        <v>87</v>
      </c>
      <c r="J26" s="100">
        <v>125</v>
      </c>
      <c r="K26" s="88">
        <v>152</v>
      </c>
      <c r="L26" s="100">
        <v>185</v>
      </c>
      <c r="M26" s="88">
        <v>205</v>
      </c>
      <c r="N26" s="74"/>
      <c r="O26" s="83"/>
      <c r="Q26" s="84"/>
      <c r="R26" s="79"/>
      <c r="S26" s="80"/>
      <c r="T26" s="80"/>
      <c r="U26" s="80"/>
    </row>
    <row r="27" spans="1:21" s="60" customFormat="1" x14ac:dyDescent="0.25">
      <c r="A27" s="150"/>
      <c r="B27" s="165"/>
      <c r="C27" s="168"/>
      <c r="D27" s="99" t="s">
        <v>32</v>
      </c>
      <c r="E27" s="88">
        <v>42</v>
      </c>
      <c r="F27" s="100">
        <v>55</v>
      </c>
      <c r="G27" s="88">
        <v>68</v>
      </c>
      <c r="H27" s="100">
        <v>87</v>
      </c>
      <c r="I27" s="88">
        <v>108</v>
      </c>
      <c r="J27" s="100">
        <v>142</v>
      </c>
      <c r="K27" s="88">
        <v>174</v>
      </c>
      <c r="L27" s="100">
        <v>210</v>
      </c>
      <c r="M27" s="88">
        <v>253</v>
      </c>
      <c r="N27" s="74"/>
      <c r="O27" s="83"/>
      <c r="Q27" s="84"/>
      <c r="R27" s="79"/>
      <c r="S27" s="80"/>
      <c r="T27" s="80"/>
      <c r="U27" s="80"/>
    </row>
    <row r="28" spans="1:21" s="60" customFormat="1" x14ac:dyDescent="0.25">
      <c r="A28" s="150"/>
      <c r="B28" s="165"/>
      <c r="C28" s="169"/>
      <c r="D28" s="99" t="s">
        <v>31</v>
      </c>
      <c r="E28" s="88">
        <v>49</v>
      </c>
      <c r="F28" s="100">
        <v>66</v>
      </c>
      <c r="G28" s="88">
        <v>84</v>
      </c>
      <c r="H28" s="100">
        <v>100</v>
      </c>
      <c r="I28" s="88">
        <v>118</v>
      </c>
      <c r="J28" s="100">
        <v>174</v>
      </c>
      <c r="K28" s="88">
        <v>210</v>
      </c>
      <c r="L28" s="100">
        <v>250</v>
      </c>
      <c r="M28" s="88">
        <v>300</v>
      </c>
      <c r="N28" s="74"/>
      <c r="O28" s="77"/>
      <c r="Q28" s="84"/>
      <c r="R28" s="79"/>
      <c r="S28" s="80"/>
      <c r="T28" s="80"/>
      <c r="U28" s="80"/>
    </row>
    <row r="29" spans="1:21" s="60" customFormat="1" x14ac:dyDescent="0.25">
      <c r="A29" s="150"/>
      <c r="B29" s="165" t="s">
        <v>165</v>
      </c>
      <c r="C29" s="167" t="s">
        <v>35</v>
      </c>
      <c r="D29" s="99" t="s">
        <v>33</v>
      </c>
      <c r="E29" s="116">
        <f t="shared" ref="E29:M29" si="6">E26/230</f>
        <v>0.12173913043478261</v>
      </c>
      <c r="F29" s="117">
        <f t="shared" si="6"/>
        <v>0.14782608695652175</v>
      </c>
      <c r="G29" s="116">
        <f t="shared" si="6"/>
        <v>0.2391304347826087</v>
      </c>
      <c r="H29" s="117">
        <f t="shared" si="6"/>
        <v>0.29565217391304349</v>
      </c>
      <c r="I29" s="116">
        <f t="shared" si="6"/>
        <v>0.37826086956521737</v>
      </c>
      <c r="J29" s="117">
        <f t="shared" si="6"/>
        <v>0.54347826086956519</v>
      </c>
      <c r="K29" s="116">
        <f t="shared" si="6"/>
        <v>0.66086956521739126</v>
      </c>
      <c r="L29" s="117">
        <f t="shared" si="6"/>
        <v>0.80434782608695654</v>
      </c>
      <c r="M29" s="116">
        <f t="shared" si="6"/>
        <v>0.89130434782608692</v>
      </c>
      <c r="N29" s="2"/>
      <c r="O29" s="80"/>
      <c r="Q29" s="80"/>
      <c r="R29" s="79"/>
      <c r="S29" s="80"/>
      <c r="T29" s="80"/>
      <c r="U29" s="80"/>
    </row>
    <row r="30" spans="1:21" s="60" customFormat="1" x14ac:dyDescent="0.25">
      <c r="A30" s="150"/>
      <c r="B30" s="165"/>
      <c r="C30" s="168"/>
      <c r="D30" s="99" t="s">
        <v>32</v>
      </c>
      <c r="E30" s="116">
        <f t="shared" ref="E30:M30" si="7">E27/230</f>
        <v>0.18260869565217391</v>
      </c>
      <c r="F30" s="117">
        <f t="shared" si="7"/>
        <v>0.2391304347826087</v>
      </c>
      <c r="G30" s="116">
        <f t="shared" si="7"/>
        <v>0.29565217391304349</v>
      </c>
      <c r="H30" s="117">
        <f t="shared" si="7"/>
        <v>0.37826086956521737</v>
      </c>
      <c r="I30" s="116">
        <f t="shared" si="7"/>
        <v>0.46956521739130436</v>
      </c>
      <c r="J30" s="117">
        <f t="shared" si="7"/>
        <v>0.61739130434782608</v>
      </c>
      <c r="K30" s="116">
        <f t="shared" si="7"/>
        <v>0.75652173913043474</v>
      </c>
      <c r="L30" s="117">
        <f t="shared" si="7"/>
        <v>0.91304347826086951</v>
      </c>
      <c r="M30" s="116">
        <f t="shared" si="7"/>
        <v>1.1000000000000001</v>
      </c>
      <c r="N30" s="2"/>
      <c r="O30" s="80"/>
      <c r="Q30" s="80"/>
      <c r="R30" s="79"/>
      <c r="S30" s="80"/>
      <c r="T30" s="80"/>
      <c r="U30" s="80"/>
    </row>
    <row r="31" spans="1:21" s="60" customFormat="1" x14ac:dyDescent="0.25">
      <c r="A31" s="150"/>
      <c r="B31" s="165"/>
      <c r="C31" s="169"/>
      <c r="D31" s="99" t="s">
        <v>31</v>
      </c>
      <c r="E31" s="116">
        <f t="shared" ref="E31:M31" si="8">E28/230</f>
        <v>0.21304347826086956</v>
      </c>
      <c r="F31" s="117">
        <f t="shared" si="8"/>
        <v>0.28695652173913044</v>
      </c>
      <c r="G31" s="116">
        <f t="shared" si="8"/>
        <v>0.36521739130434783</v>
      </c>
      <c r="H31" s="117">
        <f t="shared" si="8"/>
        <v>0.43478260869565216</v>
      </c>
      <c r="I31" s="116">
        <f t="shared" si="8"/>
        <v>0.5130434782608696</v>
      </c>
      <c r="J31" s="117">
        <f t="shared" si="8"/>
        <v>0.75652173913043474</v>
      </c>
      <c r="K31" s="116">
        <f t="shared" si="8"/>
        <v>0.91304347826086951</v>
      </c>
      <c r="L31" s="117">
        <f t="shared" si="8"/>
        <v>1.0869565217391304</v>
      </c>
      <c r="M31" s="116">
        <f t="shared" si="8"/>
        <v>1.3043478260869565</v>
      </c>
      <c r="N31" s="2"/>
      <c r="O31" s="80"/>
      <c r="Q31" s="80"/>
      <c r="R31" s="79"/>
      <c r="S31" s="80"/>
      <c r="T31" s="80"/>
      <c r="U31" s="80"/>
    </row>
    <row r="32" spans="1:21" s="60" customFormat="1" x14ac:dyDescent="0.25">
      <c r="A32" s="150"/>
      <c r="B32" s="165" t="s">
        <v>166</v>
      </c>
      <c r="C32" s="167" t="s">
        <v>34</v>
      </c>
      <c r="D32" s="99" t="s">
        <v>33</v>
      </c>
      <c r="E32" s="88">
        <v>34</v>
      </c>
      <c r="F32" s="100">
        <v>35</v>
      </c>
      <c r="G32" s="88">
        <v>38</v>
      </c>
      <c r="H32" s="100">
        <v>42</v>
      </c>
      <c r="I32" s="88">
        <v>43</v>
      </c>
      <c r="J32" s="100">
        <v>44</v>
      </c>
      <c r="K32" s="88">
        <v>46</v>
      </c>
      <c r="L32" s="100">
        <v>48</v>
      </c>
      <c r="M32" s="88">
        <v>49</v>
      </c>
      <c r="N32" s="2"/>
      <c r="O32" s="80"/>
      <c r="Q32" s="80"/>
      <c r="R32" s="79"/>
      <c r="S32" s="80"/>
      <c r="T32" s="80"/>
      <c r="U32" s="80"/>
    </row>
    <row r="33" spans="1:21" s="60" customFormat="1" x14ac:dyDescent="0.25">
      <c r="A33" s="150"/>
      <c r="B33" s="166"/>
      <c r="C33" s="168"/>
      <c r="D33" s="99" t="s">
        <v>32</v>
      </c>
      <c r="E33" s="88">
        <v>37</v>
      </c>
      <c r="F33" s="100">
        <v>38</v>
      </c>
      <c r="G33" s="88">
        <v>41</v>
      </c>
      <c r="H33" s="100">
        <v>44</v>
      </c>
      <c r="I33" s="88">
        <v>45</v>
      </c>
      <c r="J33" s="100">
        <v>46</v>
      </c>
      <c r="K33" s="88">
        <v>48</v>
      </c>
      <c r="L33" s="100">
        <v>48</v>
      </c>
      <c r="M33" s="88">
        <v>49</v>
      </c>
      <c r="N33" s="2"/>
      <c r="O33" s="80"/>
      <c r="P33" s="80"/>
      <c r="Q33" s="80"/>
      <c r="R33" s="79"/>
      <c r="S33" s="80"/>
      <c r="T33" s="80"/>
      <c r="U33" s="80"/>
    </row>
    <row r="34" spans="1:21" s="60" customFormat="1" x14ac:dyDescent="0.25">
      <c r="A34" s="150"/>
      <c r="B34" s="166"/>
      <c r="C34" s="169"/>
      <c r="D34" s="99" t="s">
        <v>31</v>
      </c>
      <c r="E34" s="88">
        <v>42</v>
      </c>
      <c r="F34" s="100">
        <v>44</v>
      </c>
      <c r="G34" s="88">
        <v>46</v>
      </c>
      <c r="H34" s="100">
        <v>47</v>
      </c>
      <c r="I34" s="88">
        <v>49</v>
      </c>
      <c r="J34" s="100">
        <v>50</v>
      </c>
      <c r="K34" s="88">
        <v>52</v>
      </c>
      <c r="L34" s="100">
        <v>54</v>
      </c>
      <c r="M34" s="88">
        <v>56</v>
      </c>
      <c r="N34" s="2"/>
      <c r="O34" s="80"/>
      <c r="P34" s="80"/>
      <c r="Q34" s="80"/>
      <c r="R34" s="79"/>
      <c r="S34" s="80"/>
      <c r="T34" s="80"/>
      <c r="U34" s="80"/>
    </row>
    <row r="35" spans="1:21" s="60" customFormat="1" x14ac:dyDescent="0.25">
      <c r="A35" s="150"/>
      <c r="B35" s="170" t="s">
        <v>167</v>
      </c>
      <c r="C35" s="167" t="s">
        <v>30</v>
      </c>
      <c r="D35" s="119" t="s">
        <v>169</v>
      </c>
      <c r="E35" s="120">
        <f>IF(E16="","",ROUND(E16/(1.163*($M$4-$M$3)),0))</f>
        <v>377</v>
      </c>
      <c r="F35" s="121">
        <f t="shared" ref="F35:L35" si="9">IF(F16="","",ROUND(F16/(1.163*($M$4-$M$3)),0))</f>
        <v>539</v>
      </c>
      <c r="G35" s="120">
        <f t="shared" si="9"/>
        <v>710</v>
      </c>
      <c r="H35" s="122">
        <f t="shared" si="9"/>
        <v>817</v>
      </c>
      <c r="I35" s="120">
        <f t="shared" si="9"/>
        <v>1056</v>
      </c>
      <c r="J35" s="122">
        <f t="shared" si="9"/>
        <v>1407</v>
      </c>
      <c r="K35" s="120">
        <f t="shared" si="9"/>
        <v>1605</v>
      </c>
      <c r="L35" s="122">
        <f t="shared" si="9"/>
        <v>2002</v>
      </c>
      <c r="M35" s="88">
        <f>IF(M16="","",ROUND(M16/(1.163*($M$4-$M$3)),0))</f>
        <v>2150</v>
      </c>
      <c r="N35" s="2"/>
      <c r="O35" s="80"/>
      <c r="P35" s="80"/>
      <c r="Q35" s="80"/>
      <c r="R35" s="79"/>
      <c r="S35" s="80"/>
      <c r="T35" s="80"/>
      <c r="U35" s="80"/>
    </row>
    <row r="36" spans="1:21" s="60" customFormat="1" x14ac:dyDescent="0.25">
      <c r="A36" s="150"/>
      <c r="B36" s="171"/>
      <c r="C36" s="169"/>
      <c r="D36" s="119" t="s">
        <v>170</v>
      </c>
      <c r="E36" s="120" t="str">
        <f>IF(E22="","",ROUND(E22/(1.163*($M$3-$M$4)),0))</f>
        <v/>
      </c>
      <c r="F36" s="121" t="str">
        <f t="shared" ref="F36:M36" si="10">IF(F22="","",ROUND(F22/(1.163*($M$3-$M$4)),0))</f>
        <v/>
      </c>
      <c r="G36" s="120" t="str">
        <f t="shared" si="10"/>
        <v/>
      </c>
      <c r="H36" s="122" t="str">
        <f t="shared" si="10"/>
        <v/>
      </c>
      <c r="I36" s="120" t="str">
        <f t="shared" si="10"/>
        <v/>
      </c>
      <c r="J36" s="122" t="str">
        <f t="shared" si="10"/>
        <v/>
      </c>
      <c r="K36" s="120" t="str">
        <f t="shared" si="10"/>
        <v/>
      </c>
      <c r="L36" s="122" t="str">
        <f t="shared" si="10"/>
        <v/>
      </c>
      <c r="M36" s="88" t="str">
        <f t="shared" si="10"/>
        <v/>
      </c>
      <c r="N36" s="2"/>
      <c r="O36" s="80"/>
      <c r="P36" s="80"/>
      <c r="Q36" s="80"/>
      <c r="R36" s="79"/>
      <c r="S36" s="80"/>
      <c r="T36" s="80"/>
      <c r="U36" s="80"/>
    </row>
    <row r="37" spans="1:21" s="60" customFormat="1" ht="17.399999999999999" customHeight="1" x14ac:dyDescent="0.25">
      <c r="A37" s="150"/>
      <c r="B37" s="170" t="s">
        <v>168</v>
      </c>
      <c r="C37" s="167" t="s">
        <v>29</v>
      </c>
      <c r="D37" s="123" t="s">
        <v>169</v>
      </c>
      <c r="E37" s="120">
        <v>20</v>
      </c>
      <c r="F37" s="121">
        <v>20</v>
      </c>
      <c r="G37" s="120">
        <v>20</v>
      </c>
      <c r="H37" s="122">
        <v>30</v>
      </c>
      <c r="I37" s="120">
        <v>40</v>
      </c>
      <c r="J37" s="122">
        <v>40</v>
      </c>
      <c r="K37" s="120">
        <v>40</v>
      </c>
      <c r="L37" s="122">
        <v>40</v>
      </c>
      <c r="M37" s="88">
        <v>50</v>
      </c>
      <c r="N37" s="2"/>
      <c r="O37" s="80"/>
      <c r="P37" s="80"/>
      <c r="Q37" s="80"/>
      <c r="R37" s="79"/>
      <c r="S37" s="80"/>
      <c r="T37" s="80"/>
      <c r="U37" s="80"/>
    </row>
    <row r="38" spans="1:21" s="60" customFormat="1" ht="17.399999999999999" customHeight="1" x14ac:dyDescent="0.25">
      <c r="A38" s="150"/>
      <c r="B38" s="171"/>
      <c r="C38" s="169"/>
      <c r="D38" s="123" t="s">
        <v>170</v>
      </c>
      <c r="E38" s="124">
        <v>0.77</v>
      </c>
      <c r="F38" s="125">
        <v>1.45</v>
      </c>
      <c r="G38" s="124">
        <v>2.54</v>
      </c>
      <c r="H38" s="126">
        <v>4.72</v>
      </c>
      <c r="I38" s="124">
        <v>1.56</v>
      </c>
      <c r="J38" s="126">
        <v>1.98</v>
      </c>
      <c r="K38" s="124">
        <v>3.38</v>
      </c>
      <c r="L38" s="122">
        <v>28.97</v>
      </c>
      <c r="M38" s="88">
        <v>13.51</v>
      </c>
      <c r="N38" s="2"/>
      <c r="O38" s="80"/>
      <c r="P38" s="80"/>
      <c r="Q38" s="80"/>
      <c r="R38" s="79"/>
      <c r="S38" s="80"/>
      <c r="T38" s="80"/>
      <c r="U38" s="80"/>
    </row>
    <row r="39" spans="1:21" s="60" customFormat="1" x14ac:dyDescent="0.25">
      <c r="A39" s="150"/>
      <c r="B39" s="127" t="s">
        <v>171</v>
      </c>
      <c r="C39" s="99" t="s">
        <v>27</v>
      </c>
      <c r="D39" s="119"/>
      <c r="E39" s="163">
        <v>1.6</v>
      </c>
      <c r="F39" s="163"/>
      <c r="G39" s="163"/>
      <c r="H39" s="163"/>
      <c r="I39" s="163"/>
      <c r="J39" s="163"/>
      <c r="K39" s="163"/>
      <c r="L39" s="163"/>
      <c r="M39" s="163"/>
      <c r="N39" s="2"/>
      <c r="O39" s="80"/>
      <c r="P39" s="80"/>
      <c r="Q39" s="80"/>
      <c r="R39" s="79"/>
      <c r="S39" s="80"/>
      <c r="T39" s="80"/>
      <c r="U39" s="80"/>
    </row>
    <row r="40" spans="1:21" s="60" customFormat="1" x14ac:dyDescent="0.25">
      <c r="A40" s="150"/>
      <c r="B40" s="184" t="s">
        <v>172</v>
      </c>
      <c r="C40" s="185"/>
      <c r="D40" s="186"/>
      <c r="E40" s="163" t="s">
        <v>26</v>
      </c>
      <c r="F40" s="163"/>
      <c r="G40" s="163"/>
      <c r="H40" s="163"/>
      <c r="I40" s="163"/>
      <c r="J40" s="163"/>
      <c r="K40" s="163"/>
      <c r="L40" s="163"/>
      <c r="M40" s="163"/>
      <c r="N40" s="2"/>
      <c r="O40" s="80"/>
      <c r="P40" s="80"/>
      <c r="Q40" s="80"/>
      <c r="R40" s="79"/>
      <c r="S40" s="80"/>
      <c r="T40" s="80"/>
      <c r="U40" s="80"/>
    </row>
    <row r="41" spans="1:21" s="60" customFormat="1" x14ac:dyDescent="0.25">
      <c r="A41" s="150"/>
      <c r="B41" s="184" t="s">
        <v>173</v>
      </c>
      <c r="C41" s="185"/>
      <c r="D41" s="186"/>
      <c r="E41" s="163" t="s">
        <v>183</v>
      </c>
      <c r="F41" s="163"/>
      <c r="G41" s="163"/>
      <c r="H41" s="163"/>
      <c r="I41" s="163"/>
      <c r="J41" s="163"/>
      <c r="K41" s="163"/>
      <c r="L41" s="163"/>
      <c r="M41" s="163"/>
      <c r="N41" s="2"/>
      <c r="O41" s="80"/>
      <c r="P41" s="80"/>
      <c r="Q41" s="80"/>
      <c r="R41" s="79"/>
      <c r="S41" s="80"/>
      <c r="T41" s="80"/>
      <c r="U41" s="80"/>
    </row>
    <row r="42" spans="1:21" s="60" customFormat="1" x14ac:dyDescent="0.25">
      <c r="A42" s="150"/>
      <c r="B42" s="184" t="s">
        <v>174</v>
      </c>
      <c r="C42" s="185"/>
      <c r="D42" s="186"/>
      <c r="E42" s="164" t="s">
        <v>184</v>
      </c>
      <c r="F42" s="164"/>
      <c r="G42" s="164"/>
      <c r="H42" s="164"/>
      <c r="I42" s="164"/>
      <c r="J42" s="164"/>
      <c r="K42" s="164"/>
      <c r="L42" s="164"/>
      <c r="M42" s="164"/>
      <c r="N42" s="2"/>
      <c r="O42" s="80"/>
      <c r="P42" s="80"/>
      <c r="Q42" s="80"/>
      <c r="R42" s="79"/>
      <c r="S42" s="80"/>
      <c r="T42" s="80"/>
      <c r="U42" s="80"/>
    </row>
    <row r="43" spans="1:21" s="60" customFormat="1" x14ac:dyDescent="0.25">
      <c r="A43" s="150"/>
      <c r="B43" s="184" t="s">
        <v>175</v>
      </c>
      <c r="C43" s="185"/>
      <c r="D43" s="186"/>
      <c r="E43" s="172" t="s">
        <v>192</v>
      </c>
      <c r="F43" s="173"/>
      <c r="G43" s="173"/>
      <c r="H43" s="173"/>
      <c r="I43" s="173"/>
      <c r="J43" s="173"/>
      <c r="K43" s="173"/>
      <c r="L43" s="173"/>
      <c r="M43" s="174"/>
      <c r="N43" s="2"/>
      <c r="O43" s="80"/>
      <c r="P43" s="80"/>
      <c r="Q43" s="80"/>
      <c r="R43" s="79"/>
      <c r="S43" s="80"/>
      <c r="T43" s="80"/>
      <c r="U43" s="80"/>
    </row>
    <row r="44" spans="1:21" s="60" customFormat="1" x14ac:dyDescent="0.25">
      <c r="A44" s="150"/>
      <c r="B44" s="184" t="s">
        <v>176</v>
      </c>
      <c r="C44" s="185"/>
      <c r="D44" s="186"/>
      <c r="E44" s="163" t="s">
        <v>186</v>
      </c>
      <c r="F44" s="163"/>
      <c r="G44" s="163"/>
      <c r="H44" s="163"/>
      <c r="I44" s="163"/>
      <c r="J44" s="163"/>
      <c r="K44" s="163"/>
      <c r="L44" s="163"/>
      <c r="M44" s="163"/>
      <c r="N44" s="2"/>
      <c r="O44" s="80"/>
      <c r="P44" s="80"/>
      <c r="Q44" s="80"/>
      <c r="R44" s="79"/>
      <c r="S44" s="80"/>
      <c r="T44" s="80"/>
      <c r="U44" s="80"/>
    </row>
    <row r="45" spans="1:21" s="60" customFormat="1" x14ac:dyDescent="0.25">
      <c r="A45" s="150"/>
      <c r="B45" s="184" t="s">
        <v>177</v>
      </c>
      <c r="C45" s="185"/>
      <c r="D45" s="186"/>
      <c r="E45" s="163" t="s">
        <v>187</v>
      </c>
      <c r="F45" s="163"/>
      <c r="G45" s="163"/>
      <c r="H45" s="163"/>
      <c r="I45" s="163"/>
      <c r="J45" s="163"/>
      <c r="K45" s="163"/>
      <c r="L45" s="163"/>
      <c r="M45" s="163"/>
      <c r="N45" s="2"/>
      <c r="O45" s="80"/>
      <c r="P45" s="80"/>
      <c r="Q45" s="80"/>
      <c r="R45" s="79"/>
      <c r="S45" s="80"/>
      <c r="T45" s="80"/>
      <c r="U45" s="80"/>
    </row>
    <row r="46" spans="1:21" s="60" customFormat="1" x14ac:dyDescent="0.25">
      <c r="A46" s="150"/>
      <c r="B46" s="184" t="s">
        <v>178</v>
      </c>
      <c r="C46" s="185"/>
      <c r="D46" s="186"/>
      <c r="E46" s="163" t="s">
        <v>188</v>
      </c>
      <c r="F46" s="163"/>
      <c r="G46" s="163"/>
      <c r="H46" s="163"/>
      <c r="I46" s="163"/>
      <c r="J46" s="163"/>
      <c r="K46" s="163"/>
      <c r="L46" s="163"/>
      <c r="M46" s="163"/>
      <c r="N46" s="2"/>
      <c r="O46" s="80"/>
      <c r="P46" s="80"/>
      <c r="Q46" s="80"/>
      <c r="R46" s="79"/>
      <c r="S46" s="80"/>
      <c r="T46" s="80"/>
      <c r="U46" s="80"/>
    </row>
    <row r="47" spans="1:21" s="60" customFormat="1" x14ac:dyDescent="0.25">
      <c r="A47" s="150"/>
      <c r="B47" s="118" t="s">
        <v>179</v>
      </c>
      <c r="C47" s="99" t="s">
        <v>11</v>
      </c>
      <c r="D47" s="119"/>
      <c r="E47" s="129" t="s">
        <v>58</v>
      </c>
      <c r="F47" s="130" t="s">
        <v>57</v>
      </c>
      <c r="G47" s="129" t="s">
        <v>56</v>
      </c>
      <c r="H47" s="130" t="s">
        <v>55</v>
      </c>
      <c r="I47" s="129" t="s">
        <v>54</v>
      </c>
      <c r="J47" s="130" t="s">
        <v>53</v>
      </c>
      <c r="K47" s="129" t="s">
        <v>52</v>
      </c>
      <c r="L47" s="130" t="s">
        <v>51</v>
      </c>
      <c r="M47" s="129" t="s">
        <v>51</v>
      </c>
      <c r="N47" s="2"/>
      <c r="O47" s="80"/>
      <c r="P47" s="80"/>
      <c r="Q47" s="80"/>
      <c r="R47" s="79"/>
      <c r="S47" s="80"/>
      <c r="T47" s="80"/>
      <c r="U47" s="80"/>
    </row>
    <row r="48" spans="1:21" s="60" customFormat="1" x14ac:dyDescent="0.25">
      <c r="A48" s="150"/>
      <c r="B48" s="118" t="s">
        <v>180</v>
      </c>
      <c r="C48" s="99" t="s">
        <v>11</v>
      </c>
      <c r="D48" s="119"/>
      <c r="E48" s="129" t="s">
        <v>50</v>
      </c>
      <c r="F48" s="130" t="s">
        <v>49</v>
      </c>
      <c r="G48" s="129" t="s">
        <v>48</v>
      </c>
      <c r="H48" s="130" t="s">
        <v>47</v>
      </c>
      <c r="I48" s="129" t="s">
        <v>46</v>
      </c>
      <c r="J48" s="130" t="s">
        <v>45</v>
      </c>
      <c r="K48" s="129" t="s">
        <v>44</v>
      </c>
      <c r="L48" s="130" t="s">
        <v>43</v>
      </c>
      <c r="M48" s="129" t="s">
        <v>43</v>
      </c>
      <c r="N48" s="2"/>
      <c r="O48" s="80"/>
      <c r="P48" s="80"/>
      <c r="Q48" s="80"/>
      <c r="R48" s="79"/>
      <c r="S48" s="80"/>
      <c r="T48" s="80"/>
      <c r="U48" s="80"/>
    </row>
    <row r="49" spans="1:22" s="60" customFormat="1" x14ac:dyDescent="0.25">
      <c r="A49" s="150"/>
      <c r="B49" s="118" t="s">
        <v>182</v>
      </c>
      <c r="C49" s="99" t="s">
        <v>0</v>
      </c>
      <c r="D49" s="119"/>
      <c r="E49" s="131">
        <v>12.8</v>
      </c>
      <c r="F49" s="132">
        <v>14.1</v>
      </c>
      <c r="G49" s="131">
        <v>17</v>
      </c>
      <c r="H49" s="132">
        <v>18</v>
      </c>
      <c r="I49" s="131">
        <v>19.399999999999999</v>
      </c>
      <c r="J49" s="132">
        <v>26.7</v>
      </c>
      <c r="K49" s="131">
        <v>28.4</v>
      </c>
      <c r="L49" s="132">
        <v>33.200000000000003</v>
      </c>
      <c r="M49" s="131">
        <v>33.799999999999997</v>
      </c>
      <c r="N49" s="2"/>
      <c r="O49" s="80"/>
      <c r="P49" s="80"/>
      <c r="Q49" s="80"/>
      <c r="R49" s="79"/>
      <c r="S49" s="80"/>
      <c r="T49" s="80"/>
      <c r="U49" s="80"/>
    </row>
    <row r="50" spans="1:22" s="60" customFormat="1" x14ac:dyDescent="0.25">
      <c r="A50" s="150"/>
      <c r="B50" s="118" t="s">
        <v>181</v>
      </c>
      <c r="C50" s="99" t="s">
        <v>0</v>
      </c>
      <c r="D50" s="119"/>
      <c r="E50" s="131">
        <v>14</v>
      </c>
      <c r="F50" s="132">
        <v>15.4</v>
      </c>
      <c r="G50" s="131">
        <v>18.5</v>
      </c>
      <c r="H50" s="132">
        <v>19.7</v>
      </c>
      <c r="I50" s="131">
        <v>21.2</v>
      </c>
      <c r="J50" s="132">
        <v>29</v>
      </c>
      <c r="K50" s="131">
        <v>30.8</v>
      </c>
      <c r="L50" s="132">
        <v>36.200000000000003</v>
      </c>
      <c r="M50" s="131">
        <v>36.799999999999997</v>
      </c>
      <c r="N50" s="2"/>
      <c r="O50" s="80"/>
      <c r="P50" s="80"/>
      <c r="Q50" s="80"/>
      <c r="R50" s="79"/>
      <c r="S50" s="80"/>
      <c r="T50" s="80"/>
      <c r="U50" s="80"/>
    </row>
    <row r="51" spans="1:22" ht="17.399999999999999" customHeight="1" x14ac:dyDescent="0.25">
      <c r="A51" s="94"/>
      <c r="B51" s="94"/>
      <c r="C51" s="94"/>
      <c r="D51" s="94"/>
      <c r="E51" s="89"/>
      <c r="F51" s="89"/>
      <c r="G51" s="89"/>
      <c r="H51" s="89"/>
      <c r="I51" s="89"/>
      <c r="J51" s="89"/>
      <c r="K51" s="89"/>
      <c r="L51" s="89"/>
      <c r="M51" s="89"/>
      <c r="O51" s="80"/>
      <c r="P51" s="80"/>
      <c r="Q51" s="80"/>
      <c r="R51" s="79"/>
      <c r="S51" s="80"/>
      <c r="T51" s="80"/>
      <c r="U51" s="80"/>
    </row>
    <row r="52" spans="1:22" ht="17.399999999999999" customHeight="1" thickBot="1" x14ac:dyDescent="0.3">
      <c r="A52" s="94"/>
      <c r="B52" s="94"/>
      <c r="C52" s="94"/>
      <c r="D52" s="94"/>
      <c r="E52" s="89"/>
      <c r="F52" s="89"/>
      <c r="G52" s="89"/>
      <c r="H52" s="89"/>
      <c r="I52" s="89"/>
      <c r="J52" s="89"/>
      <c r="K52" s="89"/>
      <c r="L52" s="89"/>
      <c r="M52" s="89"/>
      <c r="O52" s="80"/>
      <c r="P52" s="80"/>
      <c r="Q52" s="80"/>
      <c r="R52" s="79"/>
      <c r="S52" s="80"/>
      <c r="T52" s="80"/>
      <c r="U52" s="80"/>
    </row>
    <row r="53" spans="1:22" ht="17.399999999999999" customHeight="1" thickBot="1" x14ac:dyDescent="0.3">
      <c r="A53" s="94"/>
      <c r="B53" s="94"/>
      <c r="C53" s="133"/>
      <c r="D53" s="133"/>
      <c r="E53" s="134"/>
      <c r="F53" s="89"/>
      <c r="G53" s="187" t="s">
        <v>147</v>
      </c>
      <c r="H53" s="188"/>
      <c r="I53" s="187" t="s">
        <v>191</v>
      </c>
      <c r="J53" s="188"/>
      <c r="K53" s="134"/>
      <c r="L53" s="134"/>
      <c r="M53" s="90"/>
      <c r="N53" s="60"/>
      <c r="O53" s="80"/>
      <c r="P53" s="80"/>
      <c r="Q53" s="79"/>
      <c r="R53" s="80"/>
      <c r="S53" s="80"/>
      <c r="T53" s="80"/>
      <c r="U53" s="80"/>
      <c r="V53" s="62"/>
    </row>
    <row r="54" spans="1:22" ht="17.399999999999999" customHeight="1" x14ac:dyDescent="0.25">
      <c r="A54" s="94"/>
      <c r="B54" s="94"/>
      <c r="C54" s="95"/>
      <c r="D54" s="95"/>
      <c r="E54" s="89"/>
      <c r="F54" s="89"/>
      <c r="G54" s="89"/>
      <c r="H54" s="89"/>
      <c r="I54" s="89"/>
      <c r="J54" s="89"/>
      <c r="K54" s="89"/>
      <c r="L54" s="89"/>
      <c r="M54" s="89"/>
      <c r="O54" s="80"/>
      <c r="P54" s="80"/>
      <c r="Q54" s="80"/>
      <c r="R54" s="79"/>
      <c r="S54" s="80"/>
      <c r="T54" s="80"/>
      <c r="U54" s="80"/>
    </row>
    <row r="55" spans="1:22" s="70" customFormat="1" ht="35.4" customHeight="1" x14ac:dyDescent="0.25">
      <c r="A55" s="154"/>
      <c r="B55" s="181" t="s">
        <v>155</v>
      </c>
      <c r="C55" s="182"/>
      <c r="D55" s="183"/>
      <c r="E55" s="96" t="s">
        <v>118</v>
      </c>
      <c r="F55" s="97" t="s">
        <v>119</v>
      </c>
      <c r="G55" s="96" t="s">
        <v>120</v>
      </c>
      <c r="H55" s="97" t="s">
        <v>121</v>
      </c>
      <c r="I55" s="96" t="s">
        <v>122</v>
      </c>
      <c r="J55" s="97" t="s">
        <v>123</v>
      </c>
      <c r="K55" s="96" t="s">
        <v>124</v>
      </c>
      <c r="L55" s="97" t="s">
        <v>125</v>
      </c>
      <c r="M55" s="96" t="s">
        <v>126</v>
      </c>
      <c r="N55" s="2"/>
      <c r="O55" s="80"/>
      <c r="P55" s="80"/>
      <c r="Q55" s="80"/>
      <c r="R55" s="79"/>
      <c r="S55" s="81"/>
      <c r="T55" s="82"/>
      <c r="U55" s="82"/>
      <c r="V55" s="71"/>
    </row>
    <row r="56" spans="1:22" x14ac:dyDescent="0.25">
      <c r="A56" s="94"/>
      <c r="B56" s="165" t="s">
        <v>159</v>
      </c>
      <c r="C56" s="167" t="s">
        <v>39</v>
      </c>
      <c r="D56" s="99" t="s">
        <v>156</v>
      </c>
      <c r="E56" s="88">
        <v>340</v>
      </c>
      <c r="F56" s="100">
        <v>510</v>
      </c>
      <c r="G56" s="88">
        <v>680</v>
      </c>
      <c r="H56" s="100">
        <v>850</v>
      </c>
      <c r="I56" s="88">
        <v>1020</v>
      </c>
      <c r="J56" s="100">
        <v>1360</v>
      </c>
      <c r="K56" s="88">
        <v>1700</v>
      </c>
      <c r="L56" s="100">
        <v>2040</v>
      </c>
      <c r="M56" s="88">
        <v>2380</v>
      </c>
      <c r="O56" s="80"/>
      <c r="Q56" s="80"/>
      <c r="R56" s="79"/>
      <c r="S56" s="80"/>
      <c r="T56" s="80"/>
      <c r="U56" s="80"/>
    </row>
    <row r="57" spans="1:22" x14ac:dyDescent="0.25">
      <c r="A57" s="94"/>
      <c r="B57" s="165"/>
      <c r="C57" s="168"/>
      <c r="D57" s="99" t="s">
        <v>157</v>
      </c>
      <c r="E57" s="88">
        <v>255</v>
      </c>
      <c r="F57" s="100">
        <v>382</v>
      </c>
      <c r="G57" s="88">
        <v>510</v>
      </c>
      <c r="H57" s="100">
        <v>637</v>
      </c>
      <c r="I57" s="88">
        <v>765</v>
      </c>
      <c r="J57" s="100">
        <v>1122</v>
      </c>
      <c r="K57" s="88">
        <v>1402</v>
      </c>
      <c r="L57" s="100">
        <v>1683</v>
      </c>
      <c r="M57" s="88">
        <v>1927</v>
      </c>
      <c r="O57" s="80"/>
      <c r="Q57" s="80"/>
      <c r="R57" s="79"/>
      <c r="S57" s="80"/>
      <c r="T57" s="80"/>
      <c r="U57" s="80"/>
    </row>
    <row r="58" spans="1:22" ht="18" thickBot="1" x14ac:dyDescent="0.3">
      <c r="A58" s="94"/>
      <c r="B58" s="213"/>
      <c r="C58" s="180"/>
      <c r="D58" s="110" t="s">
        <v>158</v>
      </c>
      <c r="E58" s="155">
        <v>170</v>
      </c>
      <c r="F58" s="156">
        <v>255</v>
      </c>
      <c r="G58" s="155">
        <v>340</v>
      </c>
      <c r="H58" s="156">
        <v>425</v>
      </c>
      <c r="I58" s="155">
        <v>510</v>
      </c>
      <c r="J58" s="156">
        <v>850</v>
      </c>
      <c r="K58" s="155">
        <v>1062</v>
      </c>
      <c r="L58" s="156">
        <v>1275</v>
      </c>
      <c r="M58" s="155">
        <v>1487</v>
      </c>
      <c r="O58" s="80"/>
      <c r="Q58" s="80"/>
      <c r="R58" s="79"/>
      <c r="S58" s="80"/>
      <c r="T58" s="80"/>
      <c r="U58" s="80"/>
    </row>
    <row r="59" spans="1:22" x14ac:dyDescent="0.25">
      <c r="A59" s="94"/>
      <c r="B59" s="176" t="s">
        <v>160</v>
      </c>
      <c r="C59" s="179" t="s">
        <v>38</v>
      </c>
      <c r="D59" s="103" t="s">
        <v>156</v>
      </c>
      <c r="E59" s="104">
        <f>IF($V$2&gt;0,"",IF($V$3&gt;13.5,258.86*$V$3-2625.6,E62))</f>
        <v>1904.4500000000003</v>
      </c>
      <c r="F59" s="105">
        <f>IF($V$2&gt;0,"",IF($V$3&gt;13.5,355.69*$V$3-3487.2,F62))</f>
        <v>2737.375</v>
      </c>
      <c r="G59" s="104">
        <f>IF($V$2&gt;0,"",IF($V$3&gt;13.5,489.93*$V$3-4917.8,G62))</f>
        <v>3655.9749999999995</v>
      </c>
      <c r="H59" s="105">
        <f>IF($V$2&gt;0,"",IF($V$3&gt;13.5,589.11*$V$3-5795.6,H62))</f>
        <v>4513.8250000000007</v>
      </c>
      <c r="I59" s="104">
        <f>IF($V$2&gt;0,"",IF($V$3&gt;13.5,680.57*$V$3-6527.2,I62))</f>
        <v>5382.7750000000005</v>
      </c>
      <c r="J59" s="105">
        <f>IF($V$2&gt;0,"",IF($V$3&gt;13.5,850.11*$V$3-8295.7,J62))</f>
        <v>6581.2250000000004</v>
      </c>
      <c r="K59" s="104">
        <f>IF($V$2&gt;0,"",IF($V$3&gt;13.5,1004.2*$V$3-9995.6,K62))</f>
        <v>7577.9</v>
      </c>
      <c r="L59" s="105">
        <f>IF($V$2&gt;0,"",IF($V$3&gt;13.5,1224.5*$V$3-12124,L62))</f>
        <v>9304.75</v>
      </c>
      <c r="M59" s="106">
        <f>IF($V$2&gt;0,"",IF($V$3&gt;13.5,1311.6*$V$3-12912,M62))</f>
        <v>10041</v>
      </c>
      <c r="O59" s="85"/>
      <c r="Q59" s="80"/>
      <c r="R59" s="79"/>
      <c r="S59" s="80"/>
      <c r="T59" s="80"/>
      <c r="U59" s="80"/>
    </row>
    <row r="60" spans="1:22" x14ac:dyDescent="0.25">
      <c r="A60" s="94"/>
      <c r="B60" s="177"/>
      <c r="C60" s="168"/>
      <c r="D60" s="99" t="s">
        <v>157</v>
      </c>
      <c r="E60" s="107">
        <f>IFERROR(ROUND(E59*0.86,0),"")</f>
        <v>1638</v>
      </c>
      <c r="F60" s="108">
        <f t="shared" ref="F60:M60" si="11">IFERROR(ROUND(F59*0.86,0),"")</f>
        <v>2354</v>
      </c>
      <c r="G60" s="107">
        <f t="shared" si="11"/>
        <v>3144</v>
      </c>
      <c r="H60" s="108">
        <f t="shared" si="11"/>
        <v>3882</v>
      </c>
      <c r="I60" s="107">
        <f t="shared" si="11"/>
        <v>4629</v>
      </c>
      <c r="J60" s="108">
        <f t="shared" si="11"/>
        <v>5660</v>
      </c>
      <c r="K60" s="107">
        <f t="shared" si="11"/>
        <v>6517</v>
      </c>
      <c r="L60" s="108">
        <f t="shared" si="11"/>
        <v>8002</v>
      </c>
      <c r="M60" s="109">
        <f t="shared" si="11"/>
        <v>8635</v>
      </c>
      <c r="N60" s="72"/>
      <c r="O60" s="85"/>
      <c r="Q60" s="80"/>
      <c r="R60" s="79"/>
      <c r="S60" s="80"/>
      <c r="T60" s="80"/>
      <c r="U60" s="80"/>
    </row>
    <row r="61" spans="1:22" ht="18" thickBot="1" x14ac:dyDescent="0.3">
      <c r="A61" s="94"/>
      <c r="B61" s="178"/>
      <c r="C61" s="180"/>
      <c r="D61" s="110" t="s">
        <v>158</v>
      </c>
      <c r="E61" s="111">
        <f>IFERROR(ROUND(E59*0.63,0),"")</f>
        <v>1200</v>
      </c>
      <c r="F61" s="112">
        <f t="shared" ref="F61:M61" si="12">IFERROR(ROUND(F59*0.63,0),"")</f>
        <v>1725</v>
      </c>
      <c r="G61" s="111">
        <f t="shared" si="12"/>
        <v>2303</v>
      </c>
      <c r="H61" s="112">
        <f t="shared" si="12"/>
        <v>2844</v>
      </c>
      <c r="I61" s="111">
        <f t="shared" si="12"/>
        <v>3391</v>
      </c>
      <c r="J61" s="112">
        <f t="shared" si="12"/>
        <v>4146</v>
      </c>
      <c r="K61" s="111">
        <f t="shared" si="12"/>
        <v>4774</v>
      </c>
      <c r="L61" s="112">
        <f t="shared" si="12"/>
        <v>5862</v>
      </c>
      <c r="M61" s="113">
        <f t="shared" si="12"/>
        <v>6326</v>
      </c>
      <c r="N61" s="72"/>
      <c r="O61" s="85"/>
      <c r="Q61" s="80"/>
      <c r="R61" s="79"/>
      <c r="S61" s="80"/>
      <c r="T61" s="80"/>
      <c r="U61" s="80"/>
    </row>
    <row r="62" spans="1:22" x14ac:dyDescent="0.25">
      <c r="A62" s="94"/>
      <c r="B62" s="176" t="s">
        <v>161</v>
      </c>
      <c r="C62" s="179" t="s">
        <v>38</v>
      </c>
      <c r="D62" s="103" t="s">
        <v>156</v>
      </c>
      <c r="E62" s="104">
        <f>IF($V$2&lt;0,95.039*$V$3-251.73,"")</f>
        <v>1411.4525000000001</v>
      </c>
      <c r="F62" s="105">
        <f>IF($V$2&lt;0,135.92*$V$3-367.63,"")</f>
        <v>2010.9699999999998</v>
      </c>
      <c r="G62" s="104">
        <f>IF($V$2&lt;0,184.26*$V$3-512.22,"")</f>
        <v>2712.33</v>
      </c>
      <c r="H62" s="105">
        <f>IF($V$2&lt;0,224.71*$V$3-606.64,"")</f>
        <v>3325.7850000000003</v>
      </c>
      <c r="I62" s="104">
        <f>IF($V$2&lt;0,260.21*$V$3-632.41,"")</f>
        <v>3921.2649999999994</v>
      </c>
      <c r="J62" s="105">
        <f>IF($V$2&lt;0,325.68*$V$3-857.28,"")</f>
        <v>4842.1200000000008</v>
      </c>
      <c r="K62" s="104">
        <f>IF($V$2&lt;0,386.74*$V$3-1109.7,"")</f>
        <v>5658.25</v>
      </c>
      <c r="L62" s="105">
        <f>IF($V$2&lt;0,471.21*$V$3-1321,"")</f>
        <v>6925.1749999999993</v>
      </c>
      <c r="M62" s="106">
        <f>IF($V$2&lt;0,506.09*$V$3-1385.8,"")</f>
        <v>7470.7749999999987</v>
      </c>
      <c r="N62" s="72"/>
      <c r="O62" s="85"/>
      <c r="Q62" s="80"/>
      <c r="R62" s="79"/>
      <c r="S62" s="80"/>
      <c r="T62" s="80"/>
      <c r="U62" s="80"/>
    </row>
    <row r="63" spans="1:22" x14ac:dyDescent="0.25">
      <c r="A63" s="94"/>
      <c r="B63" s="177"/>
      <c r="C63" s="168"/>
      <c r="D63" s="99" t="s">
        <v>157</v>
      </c>
      <c r="E63" s="107">
        <f>IFERROR(ROUND(E62*0.86,0),"")</f>
        <v>1214</v>
      </c>
      <c r="F63" s="108">
        <f t="shared" ref="F63:M63" si="13">IFERROR(ROUND(F62*0.86,0),"")</f>
        <v>1729</v>
      </c>
      <c r="G63" s="107">
        <f t="shared" si="13"/>
        <v>2333</v>
      </c>
      <c r="H63" s="108">
        <f t="shared" si="13"/>
        <v>2860</v>
      </c>
      <c r="I63" s="107">
        <f t="shared" si="13"/>
        <v>3372</v>
      </c>
      <c r="J63" s="108">
        <f t="shared" si="13"/>
        <v>4164</v>
      </c>
      <c r="K63" s="107">
        <f t="shared" si="13"/>
        <v>4866</v>
      </c>
      <c r="L63" s="108">
        <f t="shared" si="13"/>
        <v>5956</v>
      </c>
      <c r="M63" s="109">
        <f t="shared" si="13"/>
        <v>6425</v>
      </c>
      <c r="N63" s="72"/>
      <c r="O63" s="85"/>
      <c r="Q63" s="80"/>
      <c r="R63" s="79"/>
      <c r="S63" s="80"/>
      <c r="T63" s="80"/>
      <c r="U63" s="80"/>
    </row>
    <row r="64" spans="1:22" ht="18" thickBot="1" x14ac:dyDescent="0.3">
      <c r="A64" s="94"/>
      <c r="B64" s="178"/>
      <c r="C64" s="180"/>
      <c r="D64" s="110" t="s">
        <v>158</v>
      </c>
      <c r="E64" s="111">
        <f>IFERROR(ROUND(E62*0.63,0),"")</f>
        <v>889</v>
      </c>
      <c r="F64" s="112">
        <f t="shared" ref="F64:M64" si="14">IFERROR(ROUND(F62*0.63,0),"")</f>
        <v>1267</v>
      </c>
      <c r="G64" s="111">
        <f t="shared" si="14"/>
        <v>1709</v>
      </c>
      <c r="H64" s="112">
        <f t="shared" si="14"/>
        <v>2095</v>
      </c>
      <c r="I64" s="111">
        <f t="shared" si="14"/>
        <v>2470</v>
      </c>
      <c r="J64" s="112">
        <f t="shared" si="14"/>
        <v>3051</v>
      </c>
      <c r="K64" s="111">
        <f t="shared" si="14"/>
        <v>3565</v>
      </c>
      <c r="L64" s="112">
        <f t="shared" si="14"/>
        <v>4363</v>
      </c>
      <c r="M64" s="113">
        <f t="shared" si="14"/>
        <v>4707</v>
      </c>
      <c r="N64" s="72"/>
      <c r="O64" s="85"/>
      <c r="P64" s="80"/>
      <c r="Q64" s="80"/>
      <c r="R64" s="79"/>
      <c r="S64" s="80"/>
      <c r="T64" s="80"/>
      <c r="U64" s="80"/>
    </row>
    <row r="65" spans="1:22" x14ac:dyDescent="0.25">
      <c r="A65" s="94"/>
      <c r="B65" s="176" t="s">
        <v>162</v>
      </c>
      <c r="C65" s="179" t="s">
        <v>38</v>
      </c>
      <c r="D65" s="103" t="s">
        <v>156</v>
      </c>
      <c r="E65" s="104" t="str">
        <f>IF($V$2&gt;0,99*$V$3-580,"")</f>
        <v/>
      </c>
      <c r="F65" s="105" t="str">
        <f>IF($V$2&gt;0,142*$V$3-760,"")</f>
        <v/>
      </c>
      <c r="G65" s="104" t="str">
        <f>IF($V$2&gt;0,191*$V$3-1070,"")</f>
        <v/>
      </c>
      <c r="H65" s="105" t="str">
        <f>IF($V$2&gt;0,234*$V$3-1260,"")</f>
        <v/>
      </c>
      <c r="I65" s="104" t="str">
        <f>IF($V$2&gt;0,277.5*$V$3-1400,"")</f>
        <v/>
      </c>
      <c r="J65" s="105" t="str">
        <f>IF($V$2&gt;0,333.5*$V$3-1780,"")</f>
        <v/>
      </c>
      <c r="K65" s="104" t="str">
        <f>IF($V$2&gt;0,395.5*$V$3-2250,"")</f>
        <v/>
      </c>
      <c r="L65" s="105" t="str">
        <f>IF($V$2&gt;0,479.5*$V$3-2700,"")</f>
        <v/>
      </c>
      <c r="M65" s="106" t="str">
        <f>IF($V$2&gt;0,514.5*$V$3-2860,"")</f>
        <v/>
      </c>
      <c r="N65" s="72"/>
      <c r="O65" s="85"/>
      <c r="P65" s="86"/>
      <c r="Q65" s="80"/>
      <c r="R65" s="79"/>
      <c r="S65" s="80"/>
      <c r="T65" s="80"/>
      <c r="U65" s="80"/>
    </row>
    <row r="66" spans="1:22" x14ac:dyDescent="0.25">
      <c r="A66" s="94"/>
      <c r="B66" s="177"/>
      <c r="C66" s="168"/>
      <c r="D66" s="99" t="s">
        <v>157</v>
      </c>
      <c r="E66" s="107" t="str">
        <f t="shared" ref="E66:M66" si="15">IFERROR(ROUND(E65*0.83,0),"")</f>
        <v/>
      </c>
      <c r="F66" s="108" t="str">
        <f t="shared" si="15"/>
        <v/>
      </c>
      <c r="G66" s="107" t="str">
        <f t="shared" si="15"/>
        <v/>
      </c>
      <c r="H66" s="108" t="str">
        <f t="shared" si="15"/>
        <v/>
      </c>
      <c r="I66" s="107" t="str">
        <f t="shared" si="15"/>
        <v/>
      </c>
      <c r="J66" s="108" t="str">
        <f t="shared" si="15"/>
        <v/>
      </c>
      <c r="K66" s="107" t="str">
        <f t="shared" si="15"/>
        <v/>
      </c>
      <c r="L66" s="108" t="str">
        <f t="shared" si="15"/>
        <v/>
      </c>
      <c r="M66" s="109" t="str">
        <f t="shared" si="15"/>
        <v/>
      </c>
      <c r="N66" s="72"/>
      <c r="O66" s="85"/>
      <c r="P66" s="80"/>
      <c r="Q66" s="80"/>
      <c r="R66" s="79"/>
      <c r="S66" s="80"/>
      <c r="T66" s="80"/>
      <c r="U66" s="80"/>
    </row>
    <row r="67" spans="1:22" ht="18" thickBot="1" x14ac:dyDescent="0.3">
      <c r="A67" s="94"/>
      <c r="B67" s="178"/>
      <c r="C67" s="180"/>
      <c r="D67" s="110" t="s">
        <v>158</v>
      </c>
      <c r="E67" s="111" t="str">
        <f t="shared" ref="E67:M67" si="16">IFERROR(ROUND(E65*0.73,0),"")</f>
        <v/>
      </c>
      <c r="F67" s="112" t="str">
        <f t="shared" si="16"/>
        <v/>
      </c>
      <c r="G67" s="111" t="str">
        <f t="shared" si="16"/>
        <v/>
      </c>
      <c r="H67" s="112" t="str">
        <f t="shared" si="16"/>
        <v/>
      </c>
      <c r="I67" s="111" t="str">
        <f t="shared" si="16"/>
        <v/>
      </c>
      <c r="J67" s="112" t="str">
        <f t="shared" si="16"/>
        <v/>
      </c>
      <c r="K67" s="111" t="str">
        <f t="shared" si="16"/>
        <v/>
      </c>
      <c r="L67" s="112" t="str">
        <f t="shared" si="16"/>
        <v/>
      </c>
      <c r="M67" s="113" t="str">
        <f t="shared" si="16"/>
        <v/>
      </c>
      <c r="N67" s="72"/>
      <c r="O67" s="85"/>
      <c r="P67" s="80"/>
      <c r="Q67" s="80"/>
      <c r="R67" s="79"/>
      <c r="S67" s="80"/>
      <c r="T67" s="80"/>
      <c r="U67" s="80"/>
    </row>
    <row r="68" spans="1:22" x14ac:dyDescent="0.25">
      <c r="A68" s="94"/>
      <c r="B68" s="114" t="s">
        <v>163</v>
      </c>
      <c r="C68" s="115"/>
      <c r="D68" s="135"/>
      <c r="E68" s="159" t="s">
        <v>197</v>
      </c>
      <c r="F68" s="159"/>
      <c r="G68" s="159"/>
      <c r="H68" s="159"/>
      <c r="I68" s="159"/>
      <c r="J68" s="159"/>
      <c r="K68" s="159"/>
      <c r="L68" s="159"/>
      <c r="M68" s="159"/>
      <c r="O68" s="80"/>
      <c r="P68" s="80"/>
      <c r="Q68" s="80"/>
      <c r="R68" s="79"/>
      <c r="S68" s="80"/>
      <c r="T68" s="80"/>
      <c r="U68" s="80"/>
    </row>
    <row r="69" spans="1:22" x14ac:dyDescent="0.25">
      <c r="A69" s="94"/>
      <c r="B69" s="165" t="s">
        <v>164</v>
      </c>
      <c r="C69" s="167" t="s">
        <v>36</v>
      </c>
      <c r="D69" s="99" t="s">
        <v>33</v>
      </c>
      <c r="E69" s="88">
        <v>28</v>
      </c>
      <c r="F69" s="100">
        <v>34</v>
      </c>
      <c r="G69" s="88">
        <v>55</v>
      </c>
      <c r="H69" s="100">
        <v>68</v>
      </c>
      <c r="I69" s="88">
        <v>87</v>
      </c>
      <c r="J69" s="100">
        <v>125</v>
      </c>
      <c r="K69" s="88">
        <v>152</v>
      </c>
      <c r="L69" s="100">
        <v>185</v>
      </c>
      <c r="M69" s="88">
        <v>205</v>
      </c>
      <c r="O69" s="80"/>
      <c r="P69" s="80"/>
      <c r="Q69" s="80"/>
      <c r="R69" s="79"/>
      <c r="S69" s="80"/>
      <c r="T69" s="80"/>
      <c r="U69" s="80"/>
    </row>
    <row r="70" spans="1:22" x14ac:dyDescent="0.25">
      <c r="A70" s="94"/>
      <c r="B70" s="165"/>
      <c r="C70" s="168"/>
      <c r="D70" s="99" t="s">
        <v>32</v>
      </c>
      <c r="E70" s="88">
        <v>42</v>
      </c>
      <c r="F70" s="100">
        <v>55</v>
      </c>
      <c r="G70" s="88">
        <v>68</v>
      </c>
      <c r="H70" s="100">
        <v>87</v>
      </c>
      <c r="I70" s="88">
        <v>108</v>
      </c>
      <c r="J70" s="100">
        <v>142</v>
      </c>
      <c r="K70" s="88">
        <v>174</v>
      </c>
      <c r="L70" s="100">
        <v>210</v>
      </c>
      <c r="M70" s="88">
        <v>253</v>
      </c>
      <c r="O70" s="80"/>
      <c r="P70" s="80"/>
      <c r="Q70" s="80"/>
      <c r="R70" s="79"/>
      <c r="S70" s="80"/>
      <c r="T70" s="80"/>
      <c r="U70" s="80"/>
    </row>
    <row r="71" spans="1:22" x14ac:dyDescent="0.25">
      <c r="A71" s="94"/>
      <c r="B71" s="165"/>
      <c r="C71" s="169"/>
      <c r="D71" s="99" t="s">
        <v>31</v>
      </c>
      <c r="E71" s="88">
        <v>49</v>
      </c>
      <c r="F71" s="100">
        <v>66</v>
      </c>
      <c r="G71" s="88">
        <v>84</v>
      </c>
      <c r="H71" s="100">
        <v>100</v>
      </c>
      <c r="I71" s="88">
        <v>118</v>
      </c>
      <c r="J71" s="100">
        <v>174</v>
      </c>
      <c r="K71" s="88">
        <v>210</v>
      </c>
      <c r="L71" s="100">
        <v>250</v>
      </c>
      <c r="M71" s="88">
        <v>300</v>
      </c>
      <c r="O71" s="80"/>
      <c r="P71" s="80"/>
      <c r="Q71" s="80"/>
      <c r="R71" s="79"/>
      <c r="S71" s="80"/>
      <c r="T71" s="80"/>
      <c r="U71" s="80"/>
    </row>
    <row r="72" spans="1:22" x14ac:dyDescent="0.25">
      <c r="A72" s="94"/>
      <c r="B72" s="170" t="s">
        <v>165</v>
      </c>
      <c r="C72" s="167" t="s">
        <v>35</v>
      </c>
      <c r="D72" s="99" t="s">
        <v>33</v>
      </c>
      <c r="E72" s="116">
        <v>0.12173913043478261</v>
      </c>
      <c r="F72" s="117">
        <v>0.14782608695652175</v>
      </c>
      <c r="G72" s="116">
        <v>0.2391304347826087</v>
      </c>
      <c r="H72" s="117">
        <v>0.29565217391304349</v>
      </c>
      <c r="I72" s="116">
        <v>0.37826086956521737</v>
      </c>
      <c r="J72" s="117">
        <v>0.54347826086956519</v>
      </c>
      <c r="K72" s="116">
        <v>0.66086956521739126</v>
      </c>
      <c r="L72" s="117">
        <v>0.80434782608695654</v>
      </c>
      <c r="M72" s="116">
        <v>0.89130434782608692</v>
      </c>
      <c r="O72" s="80"/>
      <c r="P72" s="80"/>
      <c r="Q72" s="80"/>
      <c r="R72" s="79"/>
      <c r="S72" s="80"/>
      <c r="T72" s="80"/>
      <c r="U72" s="80"/>
    </row>
    <row r="73" spans="1:22" x14ac:dyDescent="0.25">
      <c r="A73" s="94"/>
      <c r="B73" s="175"/>
      <c r="C73" s="168"/>
      <c r="D73" s="99" t="s">
        <v>32</v>
      </c>
      <c r="E73" s="116">
        <v>0.18260869565217391</v>
      </c>
      <c r="F73" s="117">
        <v>0.2391304347826087</v>
      </c>
      <c r="G73" s="116">
        <v>0.29565217391304349</v>
      </c>
      <c r="H73" s="117">
        <v>0.37826086956521737</v>
      </c>
      <c r="I73" s="116">
        <v>0.46956521739130436</v>
      </c>
      <c r="J73" s="117">
        <v>0.61739130434782608</v>
      </c>
      <c r="K73" s="116">
        <v>0.75652173913043474</v>
      </c>
      <c r="L73" s="117">
        <v>0.91304347826086951</v>
      </c>
      <c r="M73" s="116">
        <v>1.1000000000000001</v>
      </c>
      <c r="O73" s="80"/>
      <c r="P73" s="80"/>
      <c r="Q73" s="80"/>
      <c r="R73" s="79"/>
      <c r="S73" s="80"/>
      <c r="T73" s="80"/>
      <c r="U73" s="80"/>
    </row>
    <row r="74" spans="1:22" x14ac:dyDescent="0.25">
      <c r="A74" s="94"/>
      <c r="B74" s="171"/>
      <c r="C74" s="169"/>
      <c r="D74" s="99" t="s">
        <v>31</v>
      </c>
      <c r="E74" s="116">
        <v>0.21304347826086956</v>
      </c>
      <c r="F74" s="117">
        <v>0.28695652173913044</v>
      </c>
      <c r="G74" s="116">
        <v>0.36521739130434783</v>
      </c>
      <c r="H74" s="117">
        <v>0.43478260869565216</v>
      </c>
      <c r="I74" s="116">
        <v>0.5130434782608696</v>
      </c>
      <c r="J74" s="117">
        <v>0.75652173913043474</v>
      </c>
      <c r="K74" s="116">
        <v>0.91304347826086951</v>
      </c>
      <c r="L74" s="117">
        <v>1.0869565217391304</v>
      </c>
      <c r="M74" s="116">
        <v>1.3043478260869565</v>
      </c>
      <c r="O74" s="80"/>
      <c r="P74" s="80"/>
      <c r="Q74" s="80"/>
      <c r="R74" s="79"/>
      <c r="S74" s="80"/>
      <c r="T74" s="80"/>
      <c r="U74" s="80"/>
    </row>
    <row r="75" spans="1:22" x14ac:dyDescent="0.25">
      <c r="A75" s="94"/>
      <c r="B75" s="165" t="s">
        <v>166</v>
      </c>
      <c r="C75" s="167" t="s">
        <v>34</v>
      </c>
      <c r="D75" s="99" t="s">
        <v>33</v>
      </c>
      <c r="E75" s="88">
        <v>35</v>
      </c>
      <c r="F75" s="100">
        <v>37</v>
      </c>
      <c r="G75" s="88">
        <v>39</v>
      </c>
      <c r="H75" s="100">
        <v>41</v>
      </c>
      <c r="I75" s="88">
        <v>43</v>
      </c>
      <c r="J75" s="100">
        <v>44</v>
      </c>
      <c r="K75" s="88">
        <v>46</v>
      </c>
      <c r="L75" s="100">
        <v>48</v>
      </c>
      <c r="M75" s="88">
        <v>50</v>
      </c>
      <c r="O75" s="80"/>
      <c r="P75" s="80"/>
      <c r="Q75" s="80"/>
      <c r="R75" s="79"/>
      <c r="S75" s="80"/>
      <c r="T75" s="80"/>
      <c r="U75" s="80"/>
    </row>
    <row r="76" spans="1:22" x14ac:dyDescent="0.25">
      <c r="A76" s="94"/>
      <c r="B76" s="166"/>
      <c r="C76" s="168"/>
      <c r="D76" s="99" t="s">
        <v>32</v>
      </c>
      <c r="E76" s="88">
        <v>38</v>
      </c>
      <c r="F76" s="100">
        <v>40</v>
      </c>
      <c r="G76" s="88">
        <v>42</v>
      </c>
      <c r="H76" s="100">
        <v>44</v>
      </c>
      <c r="I76" s="88">
        <v>45</v>
      </c>
      <c r="J76" s="100">
        <v>46</v>
      </c>
      <c r="K76" s="88">
        <v>48</v>
      </c>
      <c r="L76" s="100">
        <v>50</v>
      </c>
      <c r="M76" s="88">
        <v>52</v>
      </c>
      <c r="O76" s="80"/>
      <c r="P76" s="80"/>
      <c r="Q76" s="80"/>
      <c r="R76" s="79"/>
      <c r="S76" s="80"/>
      <c r="T76" s="80"/>
      <c r="U76" s="80"/>
    </row>
    <row r="77" spans="1:22" x14ac:dyDescent="0.25">
      <c r="A77" s="94"/>
      <c r="B77" s="166"/>
      <c r="C77" s="169"/>
      <c r="D77" s="99" t="s">
        <v>31</v>
      </c>
      <c r="E77" s="88">
        <v>40</v>
      </c>
      <c r="F77" s="100">
        <v>42</v>
      </c>
      <c r="G77" s="88">
        <v>44</v>
      </c>
      <c r="H77" s="100">
        <v>45</v>
      </c>
      <c r="I77" s="88">
        <v>47</v>
      </c>
      <c r="J77" s="100">
        <v>48</v>
      </c>
      <c r="K77" s="88">
        <v>50</v>
      </c>
      <c r="L77" s="100">
        <v>52</v>
      </c>
      <c r="M77" s="88">
        <v>54</v>
      </c>
      <c r="O77" s="80"/>
      <c r="P77" s="80"/>
      <c r="Q77" s="80"/>
      <c r="R77" s="79"/>
      <c r="S77" s="80"/>
      <c r="T77" s="80"/>
      <c r="U77" s="80"/>
    </row>
    <row r="78" spans="1:22" s="64" customFormat="1" x14ac:dyDescent="0.25">
      <c r="A78" s="89"/>
      <c r="B78" s="170" t="s">
        <v>167</v>
      </c>
      <c r="C78" s="167" t="s">
        <v>30</v>
      </c>
      <c r="D78" s="119" t="s">
        <v>169</v>
      </c>
      <c r="E78" s="120">
        <f>IF(E59="","",ROUND(E59/(1.163*($M$4-$M$3)),0))</f>
        <v>328</v>
      </c>
      <c r="F78" s="121">
        <f t="shared" ref="F78:M78" si="17">IF(F59="","",ROUND(F59/(1.163*($M$4-$M$3)),0))</f>
        <v>471</v>
      </c>
      <c r="G78" s="120">
        <f t="shared" si="17"/>
        <v>629</v>
      </c>
      <c r="H78" s="122">
        <f t="shared" si="17"/>
        <v>776</v>
      </c>
      <c r="I78" s="120">
        <f t="shared" si="17"/>
        <v>926</v>
      </c>
      <c r="J78" s="122">
        <f t="shared" si="17"/>
        <v>1132</v>
      </c>
      <c r="K78" s="120">
        <f t="shared" si="17"/>
        <v>1303</v>
      </c>
      <c r="L78" s="122">
        <f t="shared" si="17"/>
        <v>1600</v>
      </c>
      <c r="M78" s="88">
        <f t="shared" si="17"/>
        <v>1727</v>
      </c>
      <c r="N78" s="2"/>
      <c r="O78" s="80"/>
      <c r="P78" s="80"/>
      <c r="Q78" s="80"/>
      <c r="R78" s="79"/>
      <c r="S78" s="80"/>
      <c r="T78" s="80"/>
      <c r="U78" s="80"/>
      <c r="V78" s="60"/>
    </row>
    <row r="79" spans="1:22" s="64" customFormat="1" x14ac:dyDescent="0.25">
      <c r="A79" s="89"/>
      <c r="B79" s="171"/>
      <c r="C79" s="169"/>
      <c r="D79" s="119" t="s">
        <v>170</v>
      </c>
      <c r="E79" s="120" t="str">
        <f>IF(E65="","",ROUND(E65/(1.163*($M$3-$M$4)),0))</f>
        <v/>
      </c>
      <c r="F79" s="121" t="str">
        <f t="shared" ref="F79:L79" si="18">IF(F65="","",ROUND(F65/(1.163*($M$3-$M$4)),0))</f>
        <v/>
      </c>
      <c r="G79" s="120" t="str">
        <f t="shared" si="18"/>
        <v/>
      </c>
      <c r="H79" s="122" t="str">
        <f t="shared" si="18"/>
        <v/>
      </c>
      <c r="I79" s="120" t="str">
        <f t="shared" si="18"/>
        <v/>
      </c>
      <c r="J79" s="122" t="str">
        <f t="shared" si="18"/>
        <v/>
      </c>
      <c r="K79" s="120" t="str">
        <f t="shared" si="18"/>
        <v/>
      </c>
      <c r="L79" s="122" t="str">
        <f t="shared" si="18"/>
        <v/>
      </c>
      <c r="M79" s="88" t="str">
        <f>IF(M65="","",ROUND(M65/(1.163*($M$3-$M$4)),0))</f>
        <v/>
      </c>
      <c r="N79" s="2"/>
      <c r="O79" s="80"/>
      <c r="P79" s="80"/>
      <c r="Q79" s="80"/>
      <c r="R79" s="79"/>
      <c r="S79" s="80"/>
      <c r="T79" s="80"/>
      <c r="U79" s="80"/>
      <c r="V79" s="60"/>
    </row>
    <row r="80" spans="1:22" s="64" customFormat="1" ht="17.399999999999999" customHeight="1" x14ac:dyDescent="0.25">
      <c r="A80" s="89"/>
      <c r="B80" s="170" t="s">
        <v>168</v>
      </c>
      <c r="C80" s="167" t="s">
        <v>29</v>
      </c>
      <c r="D80" s="123" t="s">
        <v>169</v>
      </c>
      <c r="E80" s="120">
        <v>20</v>
      </c>
      <c r="F80" s="121">
        <v>20</v>
      </c>
      <c r="G80" s="120">
        <v>20</v>
      </c>
      <c r="H80" s="122">
        <v>30</v>
      </c>
      <c r="I80" s="120">
        <v>40</v>
      </c>
      <c r="J80" s="122">
        <v>40</v>
      </c>
      <c r="K80" s="120">
        <v>40</v>
      </c>
      <c r="L80" s="122">
        <v>40</v>
      </c>
      <c r="M80" s="88">
        <v>50</v>
      </c>
      <c r="N80" s="2"/>
      <c r="O80" s="80"/>
      <c r="P80" s="80"/>
      <c r="Q80" s="80"/>
      <c r="R80" s="79"/>
      <c r="S80" s="80"/>
      <c r="T80" s="80"/>
      <c r="U80" s="80"/>
      <c r="V80" s="60"/>
    </row>
    <row r="81" spans="1:22" s="64" customFormat="1" ht="17.399999999999999" customHeight="1" x14ac:dyDescent="0.25">
      <c r="A81" s="89"/>
      <c r="B81" s="171"/>
      <c r="C81" s="169"/>
      <c r="D81" s="123" t="s">
        <v>170</v>
      </c>
      <c r="E81" s="120">
        <v>6.71</v>
      </c>
      <c r="F81" s="121">
        <v>15.33</v>
      </c>
      <c r="G81" s="120">
        <v>9.68</v>
      </c>
      <c r="H81" s="122">
        <v>13.95</v>
      </c>
      <c r="I81" s="120">
        <v>24.91</v>
      </c>
      <c r="J81" s="122">
        <v>20.18</v>
      </c>
      <c r="K81" s="120">
        <v>15.78</v>
      </c>
      <c r="L81" s="122">
        <v>16.29</v>
      </c>
      <c r="M81" s="88">
        <v>20.34</v>
      </c>
      <c r="N81" s="2"/>
      <c r="O81" s="80"/>
      <c r="P81" s="80"/>
      <c r="Q81" s="80"/>
      <c r="R81" s="79"/>
      <c r="S81" s="80"/>
      <c r="T81" s="80"/>
      <c r="U81" s="80"/>
      <c r="V81" s="60"/>
    </row>
    <row r="82" spans="1:22" s="64" customFormat="1" x14ac:dyDescent="0.25">
      <c r="A82" s="89"/>
      <c r="B82" s="127" t="s">
        <v>171</v>
      </c>
      <c r="C82" s="128" t="s">
        <v>27</v>
      </c>
      <c r="D82" s="137"/>
      <c r="E82" s="163">
        <v>1.6</v>
      </c>
      <c r="F82" s="163"/>
      <c r="G82" s="163"/>
      <c r="H82" s="163"/>
      <c r="I82" s="163"/>
      <c r="J82" s="163"/>
      <c r="K82" s="163"/>
      <c r="L82" s="163"/>
      <c r="M82" s="163"/>
      <c r="N82" s="2"/>
      <c r="O82" s="80"/>
      <c r="P82" s="80"/>
      <c r="Q82" s="80"/>
      <c r="R82" s="79"/>
      <c r="S82" s="80"/>
      <c r="T82" s="80"/>
      <c r="U82" s="80"/>
      <c r="V82" s="60"/>
    </row>
    <row r="83" spans="1:22" s="64" customFormat="1" x14ac:dyDescent="0.25">
      <c r="A83" s="89"/>
      <c r="B83" s="160" t="s">
        <v>172</v>
      </c>
      <c r="C83" s="161"/>
      <c r="D83" s="162"/>
      <c r="E83" s="163" t="s">
        <v>26</v>
      </c>
      <c r="F83" s="163"/>
      <c r="G83" s="163"/>
      <c r="H83" s="163"/>
      <c r="I83" s="163"/>
      <c r="J83" s="163"/>
      <c r="K83" s="163"/>
      <c r="L83" s="163"/>
      <c r="M83" s="163"/>
      <c r="N83" s="2"/>
      <c r="O83" s="80"/>
      <c r="P83" s="80"/>
      <c r="Q83" s="80"/>
      <c r="R83" s="79"/>
      <c r="S83" s="80"/>
      <c r="T83" s="80"/>
      <c r="U83" s="80"/>
      <c r="V83" s="60"/>
    </row>
    <row r="84" spans="1:22" s="64" customFormat="1" x14ac:dyDescent="0.25">
      <c r="A84" s="89"/>
      <c r="B84" s="160" t="s">
        <v>173</v>
      </c>
      <c r="C84" s="161"/>
      <c r="D84" s="162"/>
      <c r="E84" s="163" t="s">
        <v>183</v>
      </c>
      <c r="F84" s="163"/>
      <c r="G84" s="163"/>
      <c r="H84" s="163"/>
      <c r="I84" s="163"/>
      <c r="J84" s="163"/>
      <c r="K84" s="163"/>
      <c r="L84" s="163"/>
      <c r="M84" s="163"/>
      <c r="N84" s="2"/>
      <c r="O84" s="80"/>
      <c r="P84" s="80"/>
      <c r="Q84" s="80"/>
      <c r="R84" s="79"/>
      <c r="S84" s="80"/>
      <c r="T84" s="80"/>
      <c r="U84" s="80"/>
      <c r="V84" s="60"/>
    </row>
    <row r="85" spans="1:22" s="64" customFormat="1" ht="17.399999999999999" customHeight="1" x14ac:dyDescent="0.25">
      <c r="A85" s="89"/>
      <c r="B85" s="160" t="s">
        <v>174</v>
      </c>
      <c r="C85" s="161"/>
      <c r="D85" s="162"/>
      <c r="E85" s="164" t="s">
        <v>184</v>
      </c>
      <c r="F85" s="164"/>
      <c r="G85" s="164"/>
      <c r="H85" s="164"/>
      <c r="I85" s="164"/>
      <c r="J85" s="164"/>
      <c r="K85" s="164"/>
      <c r="L85" s="164"/>
      <c r="M85" s="164"/>
      <c r="N85" s="2"/>
      <c r="O85" s="80"/>
      <c r="P85" s="80"/>
      <c r="Q85" s="80"/>
      <c r="R85" s="79"/>
      <c r="S85" s="80"/>
      <c r="T85" s="80"/>
      <c r="U85" s="80"/>
      <c r="V85" s="60"/>
    </row>
    <row r="86" spans="1:22" s="64" customFormat="1" x14ac:dyDescent="0.25">
      <c r="A86" s="89"/>
      <c r="B86" s="160" t="s">
        <v>175</v>
      </c>
      <c r="C86" s="161"/>
      <c r="D86" s="162"/>
      <c r="E86" s="172" t="s">
        <v>193</v>
      </c>
      <c r="F86" s="173"/>
      <c r="G86" s="173"/>
      <c r="H86" s="173"/>
      <c r="I86" s="173"/>
      <c r="J86" s="173"/>
      <c r="K86" s="173"/>
      <c r="L86" s="173"/>
      <c r="M86" s="174"/>
      <c r="N86" s="2"/>
      <c r="O86" s="80"/>
      <c r="P86" s="80"/>
      <c r="Q86" s="80"/>
      <c r="R86" s="79"/>
      <c r="S86" s="80"/>
      <c r="T86" s="80"/>
      <c r="U86" s="80"/>
      <c r="V86" s="60"/>
    </row>
    <row r="87" spans="1:22" s="64" customFormat="1" x14ac:dyDescent="0.25">
      <c r="A87" s="89"/>
      <c r="B87" s="160" t="s">
        <v>176</v>
      </c>
      <c r="C87" s="161"/>
      <c r="D87" s="162"/>
      <c r="E87" s="163" t="s">
        <v>186</v>
      </c>
      <c r="F87" s="163"/>
      <c r="G87" s="163"/>
      <c r="H87" s="163"/>
      <c r="I87" s="163"/>
      <c r="J87" s="163"/>
      <c r="K87" s="163"/>
      <c r="L87" s="163"/>
      <c r="M87" s="163"/>
      <c r="N87" s="2"/>
      <c r="O87" s="80"/>
      <c r="P87" s="80"/>
      <c r="Q87" s="80"/>
      <c r="R87" s="79"/>
      <c r="S87" s="80"/>
      <c r="T87" s="80"/>
      <c r="U87" s="80"/>
      <c r="V87" s="60"/>
    </row>
    <row r="88" spans="1:22" s="64" customFormat="1" x14ac:dyDescent="0.25">
      <c r="A88" s="89"/>
      <c r="B88" s="160" t="s">
        <v>177</v>
      </c>
      <c r="C88" s="161"/>
      <c r="D88" s="162"/>
      <c r="E88" s="163" t="s">
        <v>187</v>
      </c>
      <c r="F88" s="163"/>
      <c r="G88" s="163"/>
      <c r="H88" s="163"/>
      <c r="I88" s="163"/>
      <c r="J88" s="163"/>
      <c r="K88" s="163"/>
      <c r="L88" s="163"/>
      <c r="M88" s="163"/>
      <c r="N88" s="2"/>
      <c r="O88" s="80"/>
      <c r="P88" s="80"/>
      <c r="Q88" s="80"/>
      <c r="R88" s="79"/>
      <c r="S88" s="80"/>
      <c r="T88" s="80"/>
      <c r="U88" s="80"/>
      <c r="V88" s="60"/>
    </row>
    <row r="89" spans="1:22" s="64" customFormat="1" x14ac:dyDescent="0.25">
      <c r="A89" s="89"/>
      <c r="B89" s="160" t="s">
        <v>178</v>
      </c>
      <c r="C89" s="161"/>
      <c r="D89" s="162"/>
      <c r="E89" s="163" t="s">
        <v>188</v>
      </c>
      <c r="F89" s="163"/>
      <c r="G89" s="163"/>
      <c r="H89" s="163"/>
      <c r="I89" s="163"/>
      <c r="J89" s="163"/>
      <c r="K89" s="163"/>
      <c r="L89" s="163"/>
      <c r="M89" s="163"/>
      <c r="N89" s="2"/>
      <c r="O89" s="80"/>
      <c r="P89" s="80"/>
      <c r="Q89" s="80"/>
      <c r="R89" s="79"/>
      <c r="S89" s="80"/>
      <c r="T89" s="80"/>
      <c r="U89" s="80"/>
      <c r="V89" s="60"/>
    </row>
    <row r="90" spans="1:22" s="64" customFormat="1" x14ac:dyDescent="0.25">
      <c r="A90" s="89"/>
      <c r="B90" s="138" t="s">
        <v>179</v>
      </c>
      <c r="C90" s="128" t="s">
        <v>11</v>
      </c>
      <c r="D90" s="137"/>
      <c r="E90" s="129" t="s">
        <v>58</v>
      </c>
      <c r="F90" s="130" t="s">
        <v>57</v>
      </c>
      <c r="G90" s="129" t="s">
        <v>56</v>
      </c>
      <c r="H90" s="130" t="s">
        <v>55</v>
      </c>
      <c r="I90" s="129" t="s">
        <v>54</v>
      </c>
      <c r="J90" s="130" t="s">
        <v>53</v>
      </c>
      <c r="K90" s="129" t="s">
        <v>52</v>
      </c>
      <c r="L90" s="130" t="s">
        <v>51</v>
      </c>
      <c r="M90" s="129" t="s">
        <v>51</v>
      </c>
      <c r="N90" s="2"/>
      <c r="O90" s="80"/>
      <c r="P90" s="80"/>
      <c r="Q90" s="80"/>
      <c r="R90" s="79"/>
      <c r="S90" s="80"/>
      <c r="T90" s="80"/>
      <c r="U90" s="80"/>
      <c r="V90" s="60"/>
    </row>
    <row r="91" spans="1:22" s="64" customFormat="1" x14ac:dyDescent="0.25">
      <c r="A91" s="89"/>
      <c r="B91" s="138" t="s">
        <v>180</v>
      </c>
      <c r="C91" s="128" t="s">
        <v>11</v>
      </c>
      <c r="D91" s="137"/>
      <c r="E91" s="129" t="s">
        <v>50</v>
      </c>
      <c r="F91" s="130" t="s">
        <v>49</v>
      </c>
      <c r="G91" s="129" t="s">
        <v>48</v>
      </c>
      <c r="H91" s="130" t="s">
        <v>47</v>
      </c>
      <c r="I91" s="129" t="s">
        <v>46</v>
      </c>
      <c r="J91" s="130" t="s">
        <v>45</v>
      </c>
      <c r="K91" s="129" t="s">
        <v>44</v>
      </c>
      <c r="L91" s="130" t="s">
        <v>43</v>
      </c>
      <c r="M91" s="129" t="s">
        <v>43</v>
      </c>
      <c r="N91" s="2"/>
      <c r="O91" s="80"/>
      <c r="P91" s="80"/>
      <c r="Q91" s="80"/>
      <c r="R91" s="79"/>
      <c r="S91" s="80"/>
      <c r="T91" s="80"/>
      <c r="U91" s="80"/>
      <c r="V91" s="60"/>
    </row>
    <row r="92" spans="1:22" s="64" customFormat="1" x14ac:dyDescent="0.25">
      <c r="A92" s="89"/>
      <c r="B92" s="138" t="s">
        <v>182</v>
      </c>
      <c r="C92" s="128" t="s">
        <v>0</v>
      </c>
      <c r="D92" s="137"/>
      <c r="E92" s="131">
        <v>11</v>
      </c>
      <c r="F92" s="132">
        <v>11.9</v>
      </c>
      <c r="G92" s="131">
        <v>15</v>
      </c>
      <c r="H92" s="132">
        <v>16</v>
      </c>
      <c r="I92" s="131">
        <v>17.399999999999999</v>
      </c>
      <c r="J92" s="132">
        <v>22.1</v>
      </c>
      <c r="K92" s="131">
        <v>24</v>
      </c>
      <c r="L92" s="132">
        <v>29.2</v>
      </c>
      <c r="M92" s="131">
        <v>30.4</v>
      </c>
      <c r="N92" s="2"/>
      <c r="O92" s="80"/>
      <c r="P92" s="80"/>
      <c r="Q92" s="80"/>
      <c r="R92" s="79"/>
      <c r="S92" s="80"/>
      <c r="T92" s="80"/>
      <c r="U92" s="80"/>
      <c r="V92" s="60"/>
    </row>
    <row r="93" spans="1:22" s="64" customFormat="1" x14ac:dyDescent="0.25">
      <c r="A93" s="89"/>
      <c r="B93" s="138" t="s">
        <v>181</v>
      </c>
      <c r="C93" s="128" t="s">
        <v>0</v>
      </c>
      <c r="D93" s="137"/>
      <c r="E93" s="131">
        <v>12.2</v>
      </c>
      <c r="F93" s="132">
        <v>13.3</v>
      </c>
      <c r="G93" s="131">
        <v>16.600000000000001</v>
      </c>
      <c r="H93" s="132">
        <v>17.7</v>
      </c>
      <c r="I93" s="131">
        <v>19.2</v>
      </c>
      <c r="J93" s="132">
        <v>24.4</v>
      </c>
      <c r="K93" s="131">
        <v>26.3</v>
      </c>
      <c r="L93" s="132">
        <v>32.200000000000003</v>
      </c>
      <c r="M93" s="131">
        <v>33.4</v>
      </c>
      <c r="N93" s="2"/>
      <c r="O93" s="80"/>
      <c r="P93" s="80"/>
      <c r="Q93" s="80"/>
      <c r="R93" s="79"/>
      <c r="S93" s="80"/>
      <c r="T93" s="80"/>
      <c r="U93" s="80"/>
      <c r="V93" s="60"/>
    </row>
    <row r="94" spans="1:22" s="64" customFormat="1" x14ac:dyDescent="0.25">
      <c r="N94" s="2"/>
      <c r="O94" s="80"/>
      <c r="P94" s="80"/>
      <c r="Q94" s="80"/>
      <c r="R94" s="79"/>
      <c r="S94" s="80"/>
      <c r="T94" s="80"/>
      <c r="U94" s="80"/>
      <c r="V94" s="60"/>
    </row>
    <row r="95" spans="1:22" x14ac:dyDescent="0.25">
      <c r="C95" s="62"/>
      <c r="D95" s="62"/>
      <c r="O95" s="80"/>
      <c r="P95" s="80"/>
      <c r="Q95" s="80"/>
      <c r="R95" s="79"/>
      <c r="S95" s="80"/>
      <c r="T95" s="80"/>
      <c r="U95" s="80"/>
    </row>
  </sheetData>
  <sheetProtection algorithmName="SHA-512" hashValue="5ZX9d2XqB+U1TICE6CLO2NaFNPycZt5huJFaA4XaBrbvLGUn0UBlP8wEBcz3RwHd77Nyz8/obGg9xoHb+HSXag==" saltValue="wE42/kSwUGnG1/lUTp3uxw==" spinCount="100000" sheet="1" objects="1" scenarios="1" formatCells="0" formatColumns="0" formatRows="0" insertColumns="0" insertRows="0" insertHyperlinks="0" deleteColumns="0" deleteRows="0"/>
  <mergeCells count="77">
    <mergeCell ref="B12:D12"/>
    <mergeCell ref="G10:H10"/>
    <mergeCell ref="I10:J10"/>
    <mergeCell ref="G8:J8"/>
    <mergeCell ref="G6:J7"/>
    <mergeCell ref="B13:B15"/>
    <mergeCell ref="C13:C15"/>
    <mergeCell ref="B16:B18"/>
    <mergeCell ref="C16:C18"/>
    <mergeCell ref="B19:B21"/>
    <mergeCell ref="C19:C21"/>
    <mergeCell ref="B22:B24"/>
    <mergeCell ref="C22:C24"/>
    <mergeCell ref="B25:D25"/>
    <mergeCell ref="E25:M25"/>
    <mergeCell ref="B26:B28"/>
    <mergeCell ref="C26:C28"/>
    <mergeCell ref="B29:B31"/>
    <mergeCell ref="C29:C31"/>
    <mergeCell ref="B32:B34"/>
    <mergeCell ref="C32:C34"/>
    <mergeCell ref="B35:B36"/>
    <mergeCell ref="C35:C36"/>
    <mergeCell ref="B37:B38"/>
    <mergeCell ref="C37:C38"/>
    <mergeCell ref="E39:M39"/>
    <mergeCell ref="B40:D40"/>
    <mergeCell ref="E40:M40"/>
    <mergeCell ref="B41:D41"/>
    <mergeCell ref="E41:M41"/>
    <mergeCell ref="B42:D42"/>
    <mergeCell ref="E42:M42"/>
    <mergeCell ref="B43:D43"/>
    <mergeCell ref="E43:M43"/>
    <mergeCell ref="B44:D44"/>
    <mergeCell ref="E44:M44"/>
    <mergeCell ref="B45:D45"/>
    <mergeCell ref="E45:M45"/>
    <mergeCell ref="B46:D46"/>
    <mergeCell ref="E46:M46"/>
    <mergeCell ref="B55:D55"/>
    <mergeCell ref="B56:B58"/>
    <mergeCell ref="C56:C58"/>
    <mergeCell ref="G53:H53"/>
    <mergeCell ref="I53:J53"/>
    <mergeCell ref="B59:B61"/>
    <mergeCell ref="C59:C61"/>
    <mergeCell ref="B62:B64"/>
    <mergeCell ref="C62:C64"/>
    <mergeCell ref="B65:B67"/>
    <mergeCell ref="C65:C67"/>
    <mergeCell ref="E68:M68"/>
    <mergeCell ref="B69:B71"/>
    <mergeCell ref="C69:C71"/>
    <mergeCell ref="B72:B74"/>
    <mergeCell ref="C72:C74"/>
    <mergeCell ref="B75:B77"/>
    <mergeCell ref="C75:C77"/>
    <mergeCell ref="E82:M82"/>
    <mergeCell ref="B83:D83"/>
    <mergeCell ref="E83:M83"/>
    <mergeCell ref="B78:B79"/>
    <mergeCell ref="C78:C79"/>
    <mergeCell ref="B80:B81"/>
    <mergeCell ref="C80:C81"/>
    <mergeCell ref="B84:D84"/>
    <mergeCell ref="E84:M84"/>
    <mergeCell ref="B85:D85"/>
    <mergeCell ref="E85:M85"/>
    <mergeCell ref="B89:D89"/>
    <mergeCell ref="E89:M89"/>
    <mergeCell ref="B86:D86"/>
    <mergeCell ref="E86:M86"/>
    <mergeCell ref="B87:D87"/>
    <mergeCell ref="E87:M87"/>
    <mergeCell ref="B88:D88"/>
    <mergeCell ref="E88:M88"/>
  </mergeCells>
  <conditionalFormatting sqref="E16:M21">
    <cfRule type="cellIs" dxfId="8" priority="5" operator="between">
      <formula>$V$4</formula>
      <formula>$V$5</formula>
    </cfRule>
  </conditionalFormatting>
  <conditionalFormatting sqref="E22:M24">
    <cfRule type="cellIs" dxfId="7" priority="4" operator="between">
      <formula>$V$4</formula>
      <formula>$V$5</formula>
    </cfRule>
  </conditionalFormatting>
  <conditionalFormatting sqref="E59:M64">
    <cfRule type="cellIs" dxfId="6" priority="2" operator="between">
      <formula>$V$4</formula>
      <formula>$V$5</formula>
    </cfRule>
  </conditionalFormatting>
  <conditionalFormatting sqref="E65:M67">
    <cfRule type="cellIs" dxfId="5" priority="1" operator="between">
      <formula>$V$4</formula>
      <formula>$V$5</formula>
    </cfRule>
  </conditionalFormatting>
  <printOptions horizontalCentered="1"/>
  <pageMargins left="0.78740157480314965" right="0.39370078740157483" top="0.35433070866141736" bottom="0.35433070866141736" header="0.31496062992125984" footer="0.31496062992125984"/>
  <pageSetup scale="49" orientation="portrait" r:id="rId1"/>
  <rowBreaks count="1" manualBreakCount="1">
    <brk id="93" min="1" max="12" man="1"/>
  </rowBreaks>
  <ignoredErrors>
    <ignoredError sqref="E13:N24 E35:M36 E78:M79 E56:M67 N12 E26:N32 F25:N2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3BB7-2BF5-4AF0-958F-0BB94CFF0C6C}">
  <dimension ref="A1:V50"/>
  <sheetViews>
    <sheetView showGridLines="0" zoomScale="70" zoomScaleNormal="70" zoomScaleSheetLayoutView="85" workbookViewId="0">
      <selection activeCell="M3" sqref="M3"/>
    </sheetView>
  </sheetViews>
  <sheetFormatPr defaultColWidth="8.77734375" defaultRowHeight="17.399999999999999" x14ac:dyDescent="0.25"/>
  <cols>
    <col min="1" max="1" width="5.44140625" style="62" customWidth="1"/>
    <col min="2" max="2" width="30.6640625" style="62" customWidth="1"/>
    <col min="3" max="3" width="7.109375" style="63" bestFit="1" customWidth="1"/>
    <col min="4" max="4" width="11.109375" style="63" customWidth="1"/>
    <col min="5" max="5" width="22.33203125" style="64" customWidth="1"/>
    <col min="6" max="6" width="20" style="64" customWidth="1"/>
    <col min="7" max="7" width="20.6640625" style="64" customWidth="1"/>
    <col min="8" max="9" width="21.77734375" style="64" customWidth="1"/>
    <col min="10" max="10" width="21" style="64" customWidth="1"/>
    <col min="11" max="11" width="22" style="64" customWidth="1"/>
    <col min="12" max="12" width="21.77734375" style="64" customWidth="1"/>
    <col min="13" max="13" width="22" style="64" customWidth="1"/>
    <col min="14" max="17" width="8.77734375" style="60" customWidth="1"/>
    <col min="18" max="18" width="8.77734375" style="61" customWidth="1"/>
    <col min="19" max="20" width="8.77734375" style="60" customWidth="1"/>
    <col min="21" max="21" width="19.6640625" style="60" hidden="1" customWidth="1"/>
    <col min="22" max="22" width="9.44140625" style="60" hidden="1" customWidth="1"/>
    <col min="23" max="16384" width="8.77734375" style="62"/>
  </cols>
  <sheetData>
    <row r="1" spans="1:22" ht="17.399999999999999" customHeight="1" x14ac:dyDescent="0.25">
      <c r="A1" s="94"/>
      <c r="B1" s="139"/>
      <c r="C1" s="139"/>
      <c r="D1" s="139"/>
      <c r="E1" s="140"/>
      <c r="F1" s="140"/>
      <c r="G1" s="140"/>
      <c r="H1" s="140"/>
      <c r="I1" s="140"/>
      <c r="J1" s="140"/>
      <c r="K1" s="140"/>
      <c r="L1" s="140"/>
      <c r="M1" s="59"/>
      <c r="N1" s="2"/>
      <c r="O1" s="2"/>
    </row>
    <row r="2" spans="1:22" ht="17.399999999999999" customHeight="1" x14ac:dyDescent="0.25">
      <c r="A2" s="94"/>
      <c r="B2" s="94"/>
      <c r="C2" s="95"/>
      <c r="D2" s="95"/>
      <c r="E2" s="89"/>
      <c r="F2" s="89"/>
      <c r="G2" s="89"/>
      <c r="H2" s="89"/>
      <c r="I2" s="89"/>
      <c r="J2" s="89"/>
      <c r="K2" s="89"/>
      <c r="L2" s="89"/>
      <c r="N2" s="2"/>
      <c r="O2" s="2"/>
      <c r="U2" s="61" t="s">
        <v>42</v>
      </c>
      <c r="V2" s="65">
        <f>M3-M4</f>
        <v>-5</v>
      </c>
    </row>
    <row r="3" spans="1:22" ht="17.399999999999999" customHeight="1" x14ac:dyDescent="0.25">
      <c r="A3" s="94"/>
      <c r="B3" s="94"/>
      <c r="C3" s="95"/>
      <c r="D3" s="95"/>
      <c r="E3" s="89"/>
      <c r="F3" s="89"/>
      <c r="G3" s="89"/>
      <c r="H3" s="89"/>
      <c r="I3" s="89"/>
      <c r="J3" s="89"/>
      <c r="K3" s="92"/>
      <c r="L3" s="91" t="s">
        <v>149</v>
      </c>
      <c r="M3" s="5">
        <v>7</v>
      </c>
      <c r="N3" s="2"/>
      <c r="O3" s="2"/>
      <c r="U3" s="61" t="s">
        <v>41</v>
      </c>
      <c r="V3" s="65">
        <f>IF((M5-(M4+M3)/2)&lt;0, 0-(M5-(M4+M3)/2),(M5-(M4+M3)/2))</f>
        <v>17.5</v>
      </c>
    </row>
    <row r="4" spans="1:22" ht="17.399999999999999" customHeight="1" x14ac:dyDescent="0.25">
      <c r="A4" s="94"/>
      <c r="B4" s="94"/>
      <c r="C4" s="95"/>
      <c r="D4" s="95"/>
      <c r="E4" s="89"/>
      <c r="F4" s="89"/>
      <c r="G4" s="89"/>
      <c r="H4" s="89"/>
      <c r="I4" s="89"/>
      <c r="J4" s="89"/>
      <c r="K4" s="92"/>
      <c r="L4" s="91" t="s">
        <v>150</v>
      </c>
      <c r="M4" s="5">
        <v>12</v>
      </c>
      <c r="N4" s="2"/>
      <c r="O4" s="2"/>
      <c r="T4" s="67"/>
      <c r="V4" s="68">
        <f>IF(M7*(1-$M$9)=0,0.00001,M7*(1-$M$9))</f>
        <v>2450</v>
      </c>
    </row>
    <row r="5" spans="1:22" ht="17.399999999999999" customHeight="1" x14ac:dyDescent="0.25">
      <c r="A5" s="94"/>
      <c r="B5" s="94"/>
      <c r="C5" s="141"/>
      <c r="D5" s="141"/>
      <c r="E5" s="142"/>
      <c r="F5" s="89"/>
      <c r="G5" s="89"/>
      <c r="H5" s="89"/>
      <c r="I5" s="89"/>
      <c r="J5" s="142"/>
      <c r="K5" s="92"/>
      <c r="L5" s="91" t="s">
        <v>151</v>
      </c>
      <c r="M5" s="5">
        <v>27</v>
      </c>
      <c r="N5" s="66"/>
      <c r="O5" s="2"/>
      <c r="V5" s="68">
        <f>IF(M7*(1+$M$8)=0,0.00001,M7*(1+$M$8))</f>
        <v>2875</v>
      </c>
    </row>
    <row r="6" spans="1:22" ht="17.399999999999999" customHeight="1" x14ac:dyDescent="0.25">
      <c r="A6" s="94"/>
      <c r="B6" s="94"/>
      <c r="C6" s="143"/>
      <c r="D6" s="143"/>
      <c r="E6" s="144"/>
      <c r="F6" s="195" t="s">
        <v>145</v>
      </c>
      <c r="G6" s="195"/>
      <c r="H6" s="195"/>
      <c r="I6" s="195"/>
      <c r="J6" s="144"/>
      <c r="K6" s="92"/>
      <c r="L6" s="92"/>
      <c r="M6" s="2"/>
      <c r="N6" s="2"/>
      <c r="O6" s="2"/>
    </row>
    <row r="7" spans="1:22" ht="17.399999999999999" customHeight="1" x14ac:dyDescent="0.25">
      <c r="A7" s="94"/>
      <c r="B7" s="94"/>
      <c r="C7" s="146"/>
      <c r="D7" s="146"/>
      <c r="E7" s="147"/>
      <c r="F7" s="195"/>
      <c r="G7" s="195"/>
      <c r="H7" s="195"/>
      <c r="I7" s="195"/>
      <c r="J7" s="147"/>
      <c r="K7" s="92"/>
      <c r="L7" s="91" t="s">
        <v>152</v>
      </c>
      <c r="M7" s="4">
        <v>2500</v>
      </c>
      <c r="N7" s="69"/>
      <c r="O7" s="2"/>
    </row>
    <row r="8" spans="1:22" ht="17.399999999999999" customHeight="1" x14ac:dyDescent="0.25">
      <c r="A8" s="94"/>
      <c r="B8" s="94"/>
      <c r="C8" s="133"/>
      <c r="D8" s="133"/>
      <c r="E8" s="134"/>
      <c r="F8" s="196" t="s">
        <v>146</v>
      </c>
      <c r="G8" s="196"/>
      <c r="H8" s="196"/>
      <c r="I8" s="196"/>
      <c r="J8" s="134"/>
      <c r="K8" s="92"/>
      <c r="L8" s="91" t="s">
        <v>153</v>
      </c>
      <c r="M8" s="6">
        <v>0.15</v>
      </c>
      <c r="N8" s="2"/>
      <c r="O8" s="2"/>
    </row>
    <row r="9" spans="1:22" ht="17.399999999999999" customHeight="1" thickBot="1" x14ac:dyDescent="0.3">
      <c r="A9" s="94"/>
      <c r="B9" s="94"/>
      <c r="C9" s="95"/>
      <c r="D9" s="94"/>
      <c r="E9" s="89"/>
      <c r="F9" s="89"/>
      <c r="G9" s="89"/>
      <c r="H9" s="89"/>
      <c r="I9" s="89"/>
      <c r="J9" s="89"/>
      <c r="K9" s="92"/>
      <c r="L9" s="91" t="s">
        <v>154</v>
      </c>
      <c r="M9" s="6">
        <v>0.02</v>
      </c>
      <c r="N9" s="2"/>
      <c r="O9" s="2"/>
      <c r="S9" s="61"/>
      <c r="T9" s="61"/>
    </row>
    <row r="10" spans="1:22" ht="17.399999999999999" customHeight="1" thickBot="1" x14ac:dyDescent="0.3">
      <c r="A10" s="94"/>
      <c r="B10" s="94"/>
      <c r="C10" s="95"/>
      <c r="D10" s="94"/>
      <c r="E10" s="89"/>
      <c r="F10" s="187" t="s">
        <v>194</v>
      </c>
      <c r="G10" s="188"/>
      <c r="H10" s="214" t="s">
        <v>148</v>
      </c>
      <c r="I10" s="188"/>
      <c r="J10" s="89"/>
      <c r="K10" s="92"/>
      <c r="L10" s="91"/>
      <c r="M10" s="1"/>
      <c r="N10" s="2"/>
      <c r="O10" s="2"/>
      <c r="S10" s="61"/>
      <c r="T10" s="61"/>
    </row>
    <row r="11" spans="1:22" ht="17.399999999999999" customHeight="1" x14ac:dyDescent="0.25">
      <c r="A11" s="94"/>
      <c r="B11" s="94"/>
      <c r="C11" s="95"/>
      <c r="D11" s="95"/>
      <c r="E11" s="89"/>
      <c r="F11" s="89"/>
      <c r="G11" s="89"/>
      <c r="H11" s="89"/>
      <c r="I11" s="89"/>
      <c r="J11" s="89"/>
      <c r="K11" s="89"/>
      <c r="L11" s="89"/>
      <c r="U11" s="62"/>
      <c r="V11" s="62"/>
    </row>
    <row r="12" spans="1:22" s="70" customFormat="1" ht="35.4" customHeight="1" x14ac:dyDescent="0.25">
      <c r="A12" s="154"/>
      <c r="B12" s="215" t="s">
        <v>155</v>
      </c>
      <c r="C12" s="216"/>
      <c r="D12" s="217"/>
      <c r="E12" s="96" t="s">
        <v>100</v>
      </c>
      <c r="F12" s="97" t="s">
        <v>101</v>
      </c>
      <c r="G12" s="96" t="s">
        <v>102</v>
      </c>
      <c r="H12" s="97" t="s">
        <v>103</v>
      </c>
      <c r="I12" s="96" t="s">
        <v>104</v>
      </c>
      <c r="J12" s="97" t="s">
        <v>105</v>
      </c>
      <c r="K12" s="96" t="s">
        <v>106</v>
      </c>
      <c r="L12" s="97" t="s">
        <v>107</v>
      </c>
      <c r="M12" s="96" t="s">
        <v>108</v>
      </c>
      <c r="N12" s="60"/>
      <c r="O12" s="60"/>
      <c r="P12" s="60"/>
      <c r="Q12" s="60"/>
      <c r="R12" s="61"/>
      <c r="S12" s="60"/>
      <c r="T12" s="60"/>
      <c r="U12" s="62"/>
      <c r="V12" s="62"/>
    </row>
    <row r="13" spans="1:22" x14ac:dyDescent="0.25">
      <c r="A13" s="94"/>
      <c r="B13" s="165" t="s">
        <v>159</v>
      </c>
      <c r="C13" s="167" t="s">
        <v>39</v>
      </c>
      <c r="D13" s="99" t="s">
        <v>156</v>
      </c>
      <c r="E13" s="88">
        <v>340</v>
      </c>
      <c r="F13" s="100">
        <v>510</v>
      </c>
      <c r="G13" s="88">
        <v>680</v>
      </c>
      <c r="H13" s="100">
        <v>850</v>
      </c>
      <c r="I13" s="88">
        <v>1020</v>
      </c>
      <c r="J13" s="100">
        <v>1360</v>
      </c>
      <c r="K13" s="88">
        <v>1700</v>
      </c>
      <c r="L13" s="100">
        <v>2040</v>
      </c>
      <c r="M13" s="88">
        <v>2380</v>
      </c>
      <c r="P13" s="62"/>
      <c r="Q13" s="62"/>
      <c r="U13" s="62"/>
      <c r="V13" s="62"/>
    </row>
    <row r="14" spans="1:22" x14ac:dyDescent="0.25">
      <c r="A14" s="94"/>
      <c r="B14" s="165"/>
      <c r="C14" s="168"/>
      <c r="D14" s="99" t="s">
        <v>157</v>
      </c>
      <c r="E14" s="88">
        <v>255</v>
      </c>
      <c r="F14" s="100">
        <v>382</v>
      </c>
      <c r="G14" s="88">
        <v>510</v>
      </c>
      <c r="H14" s="100">
        <v>637</v>
      </c>
      <c r="I14" s="88">
        <v>765</v>
      </c>
      <c r="J14" s="100">
        <v>1122</v>
      </c>
      <c r="K14" s="88">
        <v>1402</v>
      </c>
      <c r="L14" s="100">
        <v>1683</v>
      </c>
      <c r="M14" s="88">
        <v>1927</v>
      </c>
      <c r="O14" s="66"/>
      <c r="P14" s="62"/>
      <c r="Q14" s="62"/>
      <c r="U14" s="62"/>
      <c r="V14" s="62"/>
    </row>
    <row r="15" spans="1:22" ht="18" thickBot="1" x14ac:dyDescent="0.3">
      <c r="A15" s="94"/>
      <c r="B15" s="213"/>
      <c r="C15" s="180"/>
      <c r="D15" s="110" t="s">
        <v>158</v>
      </c>
      <c r="E15" s="155">
        <v>170</v>
      </c>
      <c r="F15" s="156">
        <v>255</v>
      </c>
      <c r="G15" s="155">
        <v>340</v>
      </c>
      <c r="H15" s="156">
        <v>425</v>
      </c>
      <c r="I15" s="155">
        <v>510</v>
      </c>
      <c r="J15" s="156">
        <v>850</v>
      </c>
      <c r="K15" s="155">
        <v>1062</v>
      </c>
      <c r="L15" s="156">
        <v>1275</v>
      </c>
      <c r="M15" s="155">
        <v>1487</v>
      </c>
      <c r="P15" s="62"/>
      <c r="Q15" s="62"/>
    </row>
    <row r="16" spans="1:22" x14ac:dyDescent="0.25">
      <c r="A16" s="94"/>
      <c r="B16" s="176" t="s">
        <v>160</v>
      </c>
      <c r="C16" s="179" t="s">
        <v>38</v>
      </c>
      <c r="D16" s="103" t="s">
        <v>156</v>
      </c>
      <c r="E16" s="104">
        <f>IF($V$2&gt;0,"",IF($V$3&gt;12.5,266.36*$V$3-2479.9,E19))</f>
        <v>2181.4</v>
      </c>
      <c r="F16" s="105">
        <f>IF($V$2&gt;0,"",IF($V$3&gt;12.5,373.01*$V$3-3393.9,F19))</f>
        <v>3133.7750000000001</v>
      </c>
      <c r="G16" s="104">
        <f>IF($V$2&gt;0,"",IF($V$3&gt;12.5,479.29*$V$3-4277.8,G19))</f>
        <v>4109.7750000000005</v>
      </c>
      <c r="H16" s="105">
        <f>IF($V$2&gt;0,"",IF($V$3&gt;12.5,556.62*$V$3-4940.7,H19))</f>
        <v>4800.1500000000005</v>
      </c>
      <c r="I16" s="104">
        <f>IF($V$2&gt;0,"",IF($V$3&gt;12.5,714.4*$V$3-6369.7,I19))</f>
        <v>6132.3</v>
      </c>
      <c r="J16" s="105">
        <f>IF($V$2&gt;0,"",IF($V$3&gt;12.5,904.01*$V$3-7654.6,J19))</f>
        <v>8165.5749999999989</v>
      </c>
      <c r="K16" s="104">
        <f>IF($V$2&gt;0,"",IF($V$3&gt;12.5,1054.7*$V$3-9057.7,K19))</f>
        <v>9399.5499999999993</v>
      </c>
      <c r="L16" s="105">
        <f>IF($V$2&gt;0,"",IF($V$3&gt;12.5,1285.5*$V$3-10909,L19))</f>
        <v>11587.25</v>
      </c>
      <c r="M16" s="106">
        <f>IF($V$2&gt;0,"",IF($V$3&gt;12.5,1388.6*$V$3-11715,M19))</f>
        <v>12585.5</v>
      </c>
      <c r="O16" s="67"/>
      <c r="P16" s="62"/>
      <c r="Q16" s="62"/>
    </row>
    <row r="17" spans="1:17" x14ac:dyDescent="0.25">
      <c r="A17" s="94"/>
      <c r="B17" s="177"/>
      <c r="C17" s="168"/>
      <c r="D17" s="99" t="s">
        <v>157</v>
      </c>
      <c r="E17" s="107">
        <f>IFERROR(ROUND(E16*0.86,0),"")</f>
        <v>1876</v>
      </c>
      <c r="F17" s="108">
        <f t="shared" ref="F17:L17" si="0">IFERROR(ROUND(F16*0.86,0),"")</f>
        <v>2695</v>
      </c>
      <c r="G17" s="107">
        <f t="shared" si="0"/>
        <v>3534</v>
      </c>
      <c r="H17" s="108">
        <f t="shared" si="0"/>
        <v>4128</v>
      </c>
      <c r="I17" s="107">
        <f t="shared" si="0"/>
        <v>5274</v>
      </c>
      <c r="J17" s="108">
        <f t="shared" si="0"/>
        <v>7022</v>
      </c>
      <c r="K17" s="107">
        <f t="shared" si="0"/>
        <v>8084</v>
      </c>
      <c r="L17" s="108">
        <f t="shared" si="0"/>
        <v>9965</v>
      </c>
      <c r="M17" s="109">
        <f>IFERROR(ROUND(M16*0.86,0),"")</f>
        <v>10824</v>
      </c>
      <c r="O17" s="67"/>
      <c r="P17" s="62"/>
      <c r="Q17" s="62"/>
    </row>
    <row r="18" spans="1:17" ht="18" thickBot="1" x14ac:dyDescent="0.3">
      <c r="A18" s="94"/>
      <c r="B18" s="178"/>
      <c r="C18" s="180"/>
      <c r="D18" s="110" t="s">
        <v>158</v>
      </c>
      <c r="E18" s="111">
        <f>IFERROR(ROUND(E16*0.63,0),"")</f>
        <v>1374</v>
      </c>
      <c r="F18" s="112">
        <f t="shared" ref="F18:M18" si="1">IFERROR(ROUND(F16*0.63,0),"")</f>
        <v>1974</v>
      </c>
      <c r="G18" s="111">
        <f t="shared" si="1"/>
        <v>2589</v>
      </c>
      <c r="H18" s="112">
        <f t="shared" si="1"/>
        <v>3024</v>
      </c>
      <c r="I18" s="111">
        <f t="shared" si="1"/>
        <v>3863</v>
      </c>
      <c r="J18" s="112">
        <f t="shared" si="1"/>
        <v>5144</v>
      </c>
      <c r="K18" s="111">
        <f t="shared" si="1"/>
        <v>5922</v>
      </c>
      <c r="L18" s="112">
        <f t="shared" si="1"/>
        <v>7300</v>
      </c>
      <c r="M18" s="113">
        <f t="shared" si="1"/>
        <v>7929</v>
      </c>
      <c r="O18" s="67"/>
      <c r="P18" s="62"/>
      <c r="Q18" s="62"/>
    </row>
    <row r="19" spans="1:17" x14ac:dyDescent="0.25">
      <c r="A19" s="94"/>
      <c r="B19" s="176" t="s">
        <v>161</v>
      </c>
      <c r="C19" s="179" t="s">
        <v>38</v>
      </c>
      <c r="D19" s="103" t="s">
        <v>156</v>
      </c>
      <c r="E19" s="104">
        <f>IF($V$2&lt;0,104.57*$V$3-249.36,"")</f>
        <v>1580.6149999999998</v>
      </c>
      <c r="F19" s="105">
        <f>IF($V$2&lt;0,148.75*$V$3-346.46,"")</f>
        <v>2256.665</v>
      </c>
      <c r="G19" s="104">
        <f>IF($V$2&lt;0,191.21*$V$3-410.98,"")</f>
        <v>2935.1950000000002</v>
      </c>
      <c r="H19" s="105">
        <f>IF($V$2&lt;0,221.15*$V$3-453.81,"")</f>
        <v>3416.3150000000001</v>
      </c>
      <c r="I19" s="104">
        <f>IF($V$2&lt;0,285.04*$V$3-610.06,"")</f>
        <v>4378.1400000000012</v>
      </c>
      <c r="J19" s="105">
        <f>IF($V$2&lt;0,375.45*$V$3-763.59,"")</f>
        <v>5806.7849999999999</v>
      </c>
      <c r="K19" s="104">
        <f>IF($V$2&lt;0,436.29*$V$3-913.6,"")</f>
        <v>6721.4750000000004</v>
      </c>
      <c r="L19" s="105">
        <f>IF($V$2&lt;0,531.66*$V$3-1065.4,"")</f>
        <v>8238.65</v>
      </c>
      <c r="M19" s="106">
        <f>IF($V$2&lt;0,574.69*$V$3-1108.7,"")</f>
        <v>8948.375</v>
      </c>
      <c r="O19" s="67"/>
      <c r="P19" s="62"/>
      <c r="Q19" s="62"/>
    </row>
    <row r="20" spans="1:17" x14ac:dyDescent="0.25">
      <c r="A20" s="94"/>
      <c r="B20" s="177"/>
      <c r="C20" s="168"/>
      <c r="D20" s="99" t="s">
        <v>157</v>
      </c>
      <c r="E20" s="107">
        <f>IFERROR(ROUND(E19*0.86,0),"")</f>
        <v>1359</v>
      </c>
      <c r="F20" s="108">
        <f t="shared" ref="F20:M20" si="2">IFERROR(ROUND(F19*0.86,0),"")</f>
        <v>1941</v>
      </c>
      <c r="G20" s="107">
        <f t="shared" si="2"/>
        <v>2524</v>
      </c>
      <c r="H20" s="108">
        <f t="shared" si="2"/>
        <v>2938</v>
      </c>
      <c r="I20" s="107">
        <f t="shared" si="2"/>
        <v>3765</v>
      </c>
      <c r="J20" s="108">
        <f t="shared" si="2"/>
        <v>4994</v>
      </c>
      <c r="K20" s="107">
        <f t="shared" si="2"/>
        <v>5780</v>
      </c>
      <c r="L20" s="108">
        <f t="shared" si="2"/>
        <v>7085</v>
      </c>
      <c r="M20" s="109">
        <f t="shared" si="2"/>
        <v>7696</v>
      </c>
    </row>
    <row r="21" spans="1:17" ht="18" thickBot="1" x14ac:dyDescent="0.3">
      <c r="A21" s="94"/>
      <c r="B21" s="178"/>
      <c r="C21" s="180"/>
      <c r="D21" s="110" t="s">
        <v>158</v>
      </c>
      <c r="E21" s="111">
        <f>IFERROR(ROUND(E19*0.63,0),"")</f>
        <v>996</v>
      </c>
      <c r="F21" s="112">
        <f t="shared" ref="F21:L21" si="3">IFERROR(ROUND(F19*0.63,0),"")</f>
        <v>1422</v>
      </c>
      <c r="G21" s="111">
        <f t="shared" si="3"/>
        <v>1849</v>
      </c>
      <c r="H21" s="112">
        <f t="shared" si="3"/>
        <v>2152</v>
      </c>
      <c r="I21" s="111">
        <f t="shared" si="3"/>
        <v>2758</v>
      </c>
      <c r="J21" s="112">
        <f t="shared" si="3"/>
        <v>3658</v>
      </c>
      <c r="K21" s="111">
        <f t="shared" si="3"/>
        <v>4235</v>
      </c>
      <c r="L21" s="112">
        <f t="shared" si="3"/>
        <v>5190</v>
      </c>
      <c r="M21" s="113">
        <f>IFERROR(ROUND(M19*0.63,0),"")</f>
        <v>5637</v>
      </c>
    </row>
    <row r="22" spans="1:17" x14ac:dyDescent="0.25">
      <c r="A22" s="94"/>
      <c r="B22" s="176" t="s">
        <v>162</v>
      </c>
      <c r="C22" s="179" t="s">
        <v>38</v>
      </c>
      <c r="D22" s="103" t="s">
        <v>156</v>
      </c>
      <c r="E22" s="104" t="str">
        <f>IF($V$2&gt;0,97*$V$3-520,"")</f>
        <v/>
      </c>
      <c r="F22" s="105" t="str">
        <f>IF($V$2&gt;0,138*$V$3-700,"")</f>
        <v/>
      </c>
      <c r="G22" s="104" t="str">
        <f>IF($V$2&gt;0,188.5*$V$3-880,"")</f>
        <v/>
      </c>
      <c r="H22" s="105" t="str">
        <f>IF($V$2&gt;0,211.5*$V$3-950,"")</f>
        <v/>
      </c>
      <c r="I22" s="104" t="str">
        <f>IF($V$2&gt;0,267*$V$3-1240,"")</f>
        <v/>
      </c>
      <c r="J22" s="105" t="str">
        <f>IF($V$2&gt;0,366*$V$3-1620,"")</f>
        <v/>
      </c>
      <c r="K22" s="104" t="str">
        <f>IF($V$2&gt;0,411.5*$V$3-1880,"")</f>
        <v/>
      </c>
      <c r="L22" s="105" t="str">
        <f>IF($V$2&gt;0,496.5*$V$3-2160,"")</f>
        <v/>
      </c>
      <c r="M22" s="106" t="str">
        <f>IF($V$2&gt;0,547*$V$3-2340,"")</f>
        <v/>
      </c>
    </row>
    <row r="23" spans="1:17" x14ac:dyDescent="0.25">
      <c r="A23" s="94"/>
      <c r="B23" s="177"/>
      <c r="C23" s="168"/>
      <c r="D23" s="99" t="s">
        <v>157</v>
      </c>
      <c r="E23" s="107" t="str">
        <f t="shared" ref="E23:M23" si="4">IFERROR(ROUND(E22*0.86,0),"")</f>
        <v/>
      </c>
      <c r="F23" s="108" t="str">
        <f t="shared" si="4"/>
        <v/>
      </c>
      <c r="G23" s="107" t="str">
        <f t="shared" si="4"/>
        <v/>
      </c>
      <c r="H23" s="108" t="str">
        <f t="shared" si="4"/>
        <v/>
      </c>
      <c r="I23" s="107" t="str">
        <f t="shared" si="4"/>
        <v/>
      </c>
      <c r="J23" s="108" t="str">
        <f t="shared" si="4"/>
        <v/>
      </c>
      <c r="K23" s="107" t="str">
        <f t="shared" si="4"/>
        <v/>
      </c>
      <c r="L23" s="108" t="str">
        <f t="shared" si="4"/>
        <v/>
      </c>
      <c r="M23" s="109" t="str">
        <f t="shared" si="4"/>
        <v/>
      </c>
    </row>
    <row r="24" spans="1:17" ht="18" thickBot="1" x14ac:dyDescent="0.3">
      <c r="A24" s="94"/>
      <c r="B24" s="178"/>
      <c r="C24" s="180"/>
      <c r="D24" s="110" t="s">
        <v>158</v>
      </c>
      <c r="E24" s="111" t="str">
        <f t="shared" ref="E24:M24" si="5">IFERROR(ROUND(E22*0.73,0),"")</f>
        <v/>
      </c>
      <c r="F24" s="112" t="str">
        <f t="shared" si="5"/>
        <v/>
      </c>
      <c r="G24" s="111" t="str">
        <f t="shared" si="5"/>
        <v/>
      </c>
      <c r="H24" s="112" t="str">
        <f t="shared" si="5"/>
        <v/>
      </c>
      <c r="I24" s="111" t="str">
        <f t="shared" si="5"/>
        <v/>
      </c>
      <c r="J24" s="112" t="str">
        <f t="shared" si="5"/>
        <v/>
      </c>
      <c r="K24" s="111" t="str">
        <f t="shared" si="5"/>
        <v/>
      </c>
      <c r="L24" s="112" t="str">
        <f t="shared" si="5"/>
        <v/>
      </c>
      <c r="M24" s="113" t="str">
        <f t="shared" si="5"/>
        <v/>
      </c>
    </row>
    <row r="25" spans="1:17" x14ac:dyDescent="0.25">
      <c r="A25" s="94"/>
      <c r="B25" s="114" t="s">
        <v>163</v>
      </c>
      <c r="C25" s="115"/>
      <c r="D25" s="135"/>
      <c r="E25" s="159" t="s">
        <v>197</v>
      </c>
      <c r="F25" s="159"/>
      <c r="G25" s="159"/>
      <c r="H25" s="159"/>
      <c r="I25" s="159"/>
      <c r="J25" s="159"/>
      <c r="K25" s="159"/>
      <c r="L25" s="159"/>
      <c r="M25" s="159"/>
    </row>
    <row r="26" spans="1:17" x14ac:dyDescent="0.25">
      <c r="A26" s="94"/>
      <c r="B26" s="165" t="s">
        <v>164</v>
      </c>
      <c r="C26" s="167" t="s">
        <v>36</v>
      </c>
      <c r="D26" s="99" t="s">
        <v>33</v>
      </c>
      <c r="E26" s="88">
        <v>17</v>
      </c>
      <c r="F26" s="100">
        <v>20</v>
      </c>
      <c r="G26" s="88">
        <v>36</v>
      </c>
      <c r="H26" s="100">
        <v>44</v>
      </c>
      <c r="I26" s="88">
        <v>56</v>
      </c>
      <c r="J26" s="100">
        <v>78</v>
      </c>
      <c r="K26" s="88">
        <v>88</v>
      </c>
      <c r="L26" s="100">
        <v>114</v>
      </c>
      <c r="M26" s="88">
        <v>139</v>
      </c>
    </row>
    <row r="27" spans="1:17" x14ac:dyDescent="0.25">
      <c r="A27" s="94"/>
      <c r="B27" s="165"/>
      <c r="C27" s="168"/>
      <c r="D27" s="99" t="s">
        <v>32</v>
      </c>
      <c r="E27" s="88">
        <v>26</v>
      </c>
      <c r="F27" s="100">
        <v>34</v>
      </c>
      <c r="G27" s="88">
        <v>42</v>
      </c>
      <c r="H27" s="100">
        <v>51</v>
      </c>
      <c r="I27" s="88">
        <v>63</v>
      </c>
      <c r="J27" s="100">
        <v>91</v>
      </c>
      <c r="K27" s="88">
        <v>101</v>
      </c>
      <c r="L27" s="100">
        <v>140</v>
      </c>
      <c r="M27" s="88">
        <v>166</v>
      </c>
    </row>
    <row r="28" spans="1:17" x14ac:dyDescent="0.25">
      <c r="A28" s="94"/>
      <c r="B28" s="165"/>
      <c r="C28" s="169"/>
      <c r="D28" s="99" t="s">
        <v>31</v>
      </c>
      <c r="E28" s="88">
        <v>29</v>
      </c>
      <c r="F28" s="100">
        <v>38</v>
      </c>
      <c r="G28" s="88">
        <v>49</v>
      </c>
      <c r="H28" s="100">
        <v>56</v>
      </c>
      <c r="I28" s="88">
        <v>80</v>
      </c>
      <c r="J28" s="100">
        <v>101</v>
      </c>
      <c r="K28" s="88">
        <v>125</v>
      </c>
      <c r="L28" s="100">
        <v>173</v>
      </c>
      <c r="M28" s="88">
        <v>208</v>
      </c>
    </row>
    <row r="29" spans="1:17" x14ac:dyDescent="0.25">
      <c r="A29" s="94"/>
      <c r="B29" s="170" t="s">
        <v>165</v>
      </c>
      <c r="C29" s="167" t="s">
        <v>35</v>
      </c>
      <c r="D29" s="99" t="s">
        <v>33</v>
      </c>
      <c r="E29" s="116">
        <v>7.3913043478260873E-2</v>
      </c>
      <c r="F29" s="117">
        <v>8.6956521739130432E-2</v>
      </c>
      <c r="G29" s="116">
        <v>0.15652173913043479</v>
      </c>
      <c r="H29" s="117">
        <v>0.19130434782608696</v>
      </c>
      <c r="I29" s="116">
        <v>0.24347826086956523</v>
      </c>
      <c r="J29" s="117">
        <v>0.33913043478260868</v>
      </c>
      <c r="K29" s="116">
        <v>0.38260869565217392</v>
      </c>
      <c r="L29" s="117">
        <v>0.4956521739130435</v>
      </c>
      <c r="M29" s="116">
        <v>0.60434782608695647</v>
      </c>
    </row>
    <row r="30" spans="1:17" x14ac:dyDescent="0.25">
      <c r="A30" s="94"/>
      <c r="B30" s="175"/>
      <c r="C30" s="168"/>
      <c r="D30" s="99" t="s">
        <v>32</v>
      </c>
      <c r="E30" s="116">
        <v>0.11304347826086956</v>
      </c>
      <c r="F30" s="117">
        <v>0.14782608695652175</v>
      </c>
      <c r="G30" s="116">
        <v>0.18260869565217391</v>
      </c>
      <c r="H30" s="117">
        <v>0.22173913043478261</v>
      </c>
      <c r="I30" s="116">
        <v>0.27391304347826084</v>
      </c>
      <c r="J30" s="117">
        <v>0.39565217391304347</v>
      </c>
      <c r="K30" s="116">
        <v>0.43913043478260871</v>
      </c>
      <c r="L30" s="117">
        <v>0.60869565217391308</v>
      </c>
      <c r="M30" s="116">
        <v>0.72173913043478266</v>
      </c>
    </row>
    <row r="31" spans="1:17" x14ac:dyDescent="0.25">
      <c r="A31" s="94"/>
      <c r="B31" s="171"/>
      <c r="C31" s="169"/>
      <c r="D31" s="99" t="s">
        <v>31</v>
      </c>
      <c r="E31" s="116">
        <v>0.12608695652173912</v>
      </c>
      <c r="F31" s="117">
        <v>0.16521739130434782</v>
      </c>
      <c r="G31" s="116">
        <v>0.21304347826086956</v>
      </c>
      <c r="H31" s="117">
        <v>0.24347826086956523</v>
      </c>
      <c r="I31" s="116">
        <v>0.34782608695652173</v>
      </c>
      <c r="J31" s="117">
        <v>0.43913043478260871</v>
      </c>
      <c r="K31" s="116">
        <v>0.54347826086956519</v>
      </c>
      <c r="L31" s="117">
        <v>0.75217391304347825</v>
      </c>
      <c r="M31" s="116">
        <v>0.90434782608695652</v>
      </c>
    </row>
    <row r="32" spans="1:17" x14ac:dyDescent="0.25">
      <c r="A32" s="94"/>
      <c r="B32" s="165" t="s">
        <v>166</v>
      </c>
      <c r="C32" s="167" t="s">
        <v>34</v>
      </c>
      <c r="D32" s="99" t="s">
        <v>33</v>
      </c>
      <c r="E32" s="88">
        <v>35</v>
      </c>
      <c r="F32" s="100">
        <v>37</v>
      </c>
      <c r="G32" s="88">
        <v>39</v>
      </c>
      <c r="H32" s="100">
        <v>41</v>
      </c>
      <c r="I32" s="88">
        <v>43</v>
      </c>
      <c r="J32" s="100">
        <v>44</v>
      </c>
      <c r="K32" s="88">
        <v>46</v>
      </c>
      <c r="L32" s="100">
        <v>48</v>
      </c>
      <c r="M32" s="88">
        <v>50</v>
      </c>
    </row>
    <row r="33" spans="1:22" x14ac:dyDescent="0.25">
      <c r="A33" s="94"/>
      <c r="B33" s="166"/>
      <c r="C33" s="168"/>
      <c r="D33" s="99" t="s">
        <v>32</v>
      </c>
      <c r="E33" s="88">
        <v>38</v>
      </c>
      <c r="F33" s="100">
        <v>40</v>
      </c>
      <c r="G33" s="88">
        <v>42</v>
      </c>
      <c r="H33" s="100">
        <v>44</v>
      </c>
      <c r="I33" s="88">
        <v>45</v>
      </c>
      <c r="J33" s="100">
        <v>46</v>
      </c>
      <c r="K33" s="88">
        <v>48</v>
      </c>
      <c r="L33" s="100">
        <v>50</v>
      </c>
      <c r="M33" s="88">
        <v>52</v>
      </c>
    </row>
    <row r="34" spans="1:22" x14ac:dyDescent="0.25">
      <c r="A34" s="94"/>
      <c r="B34" s="166"/>
      <c r="C34" s="169"/>
      <c r="D34" s="99" t="s">
        <v>31</v>
      </c>
      <c r="E34" s="88">
        <v>40</v>
      </c>
      <c r="F34" s="100">
        <v>42</v>
      </c>
      <c r="G34" s="88">
        <v>44</v>
      </c>
      <c r="H34" s="100">
        <v>45</v>
      </c>
      <c r="I34" s="88">
        <v>47</v>
      </c>
      <c r="J34" s="100">
        <v>48</v>
      </c>
      <c r="K34" s="88">
        <v>50</v>
      </c>
      <c r="L34" s="100">
        <v>52</v>
      </c>
      <c r="M34" s="88">
        <v>54</v>
      </c>
    </row>
    <row r="35" spans="1:22" x14ac:dyDescent="0.25">
      <c r="A35" s="94"/>
      <c r="B35" s="118" t="s">
        <v>167</v>
      </c>
      <c r="C35" s="99" t="s">
        <v>30</v>
      </c>
      <c r="D35" s="119"/>
      <c r="E35" s="88">
        <f>IF($V$2&gt;0,E22/(1.163*($M$3-$M$4)),E16/(1.163*($M$4-$M$3)))</f>
        <v>375.13327601031813</v>
      </c>
      <c r="F35" s="100">
        <f t="shared" ref="F35:M35" si="6">IF($V$2&gt;0,F22/(1.163*($M$3-$M$4)),F16/(1.163*($M$4-$M$3)))</f>
        <v>538.91229578675836</v>
      </c>
      <c r="G35" s="88">
        <f t="shared" si="6"/>
        <v>706.75408426483239</v>
      </c>
      <c r="H35" s="100">
        <f t="shared" si="6"/>
        <v>825.47721410146175</v>
      </c>
      <c r="I35" s="88">
        <f t="shared" si="6"/>
        <v>1054.5657781599311</v>
      </c>
      <c r="J35" s="100">
        <f t="shared" si="6"/>
        <v>1404.2261392949267</v>
      </c>
      <c r="K35" s="88">
        <f t="shared" si="6"/>
        <v>1616.4316423043849</v>
      </c>
      <c r="L35" s="100">
        <f t="shared" si="6"/>
        <v>1992.6483233018055</v>
      </c>
      <c r="M35" s="88">
        <f t="shared" si="6"/>
        <v>2164.316423043852</v>
      </c>
    </row>
    <row r="36" spans="1:22" ht="17.399999999999999" customHeight="1" x14ac:dyDescent="0.25">
      <c r="A36" s="94"/>
      <c r="B36" s="170" t="s">
        <v>168</v>
      </c>
      <c r="C36" s="167" t="s">
        <v>29</v>
      </c>
      <c r="D36" s="123" t="s">
        <v>169</v>
      </c>
      <c r="E36" s="88">
        <v>20</v>
      </c>
      <c r="F36" s="100">
        <v>20</v>
      </c>
      <c r="G36" s="88">
        <v>20</v>
      </c>
      <c r="H36" s="100">
        <v>30</v>
      </c>
      <c r="I36" s="88">
        <v>40</v>
      </c>
      <c r="J36" s="100">
        <v>40</v>
      </c>
      <c r="K36" s="88">
        <v>40</v>
      </c>
      <c r="L36" s="100">
        <v>40</v>
      </c>
      <c r="M36" s="88">
        <v>50</v>
      </c>
    </row>
    <row r="37" spans="1:22" ht="17.399999999999999" customHeight="1" x14ac:dyDescent="0.25">
      <c r="A37" s="94"/>
      <c r="B37" s="171"/>
      <c r="C37" s="169"/>
      <c r="D37" s="123" t="s">
        <v>170</v>
      </c>
      <c r="E37" s="88">
        <v>7.06</v>
      </c>
      <c r="F37" s="100">
        <v>13.23</v>
      </c>
      <c r="G37" s="88">
        <v>22.44</v>
      </c>
      <c r="H37" s="100">
        <v>27.7</v>
      </c>
      <c r="I37" s="88">
        <v>26.61</v>
      </c>
      <c r="J37" s="100">
        <v>46.95</v>
      </c>
      <c r="K37" s="88">
        <v>23.23</v>
      </c>
      <c r="L37" s="100">
        <v>32.9</v>
      </c>
      <c r="M37" s="88">
        <v>39.08</v>
      </c>
    </row>
    <row r="38" spans="1:22" x14ac:dyDescent="0.25">
      <c r="A38" s="94"/>
      <c r="B38" s="127" t="s">
        <v>171</v>
      </c>
      <c r="C38" s="99" t="s">
        <v>27</v>
      </c>
      <c r="D38" s="119"/>
      <c r="E38" s="163">
        <v>1.6</v>
      </c>
      <c r="F38" s="163"/>
      <c r="G38" s="163"/>
      <c r="H38" s="163"/>
      <c r="I38" s="163"/>
      <c r="J38" s="163"/>
      <c r="K38" s="163"/>
      <c r="L38" s="163"/>
      <c r="M38" s="163"/>
    </row>
    <row r="39" spans="1:22" x14ac:dyDescent="0.25">
      <c r="A39" s="94"/>
      <c r="B39" s="184" t="s">
        <v>172</v>
      </c>
      <c r="C39" s="185"/>
      <c r="D39" s="186"/>
      <c r="E39" s="163" t="s">
        <v>26</v>
      </c>
      <c r="F39" s="163"/>
      <c r="G39" s="163"/>
      <c r="H39" s="163"/>
      <c r="I39" s="163"/>
      <c r="J39" s="163"/>
      <c r="K39" s="163"/>
      <c r="L39" s="163"/>
      <c r="M39" s="163"/>
    </row>
    <row r="40" spans="1:22" x14ac:dyDescent="0.25">
      <c r="A40" s="94"/>
      <c r="B40" s="184" t="s">
        <v>173</v>
      </c>
      <c r="C40" s="185"/>
      <c r="D40" s="186"/>
      <c r="E40" s="163" t="s">
        <v>183</v>
      </c>
      <c r="F40" s="163"/>
      <c r="G40" s="163"/>
      <c r="H40" s="163"/>
      <c r="I40" s="163"/>
      <c r="J40" s="163"/>
      <c r="K40" s="163"/>
      <c r="L40" s="163"/>
      <c r="M40" s="163"/>
    </row>
    <row r="41" spans="1:22" ht="17.399999999999999" customHeight="1" x14ac:dyDescent="0.25">
      <c r="A41" s="94"/>
      <c r="B41" s="184" t="s">
        <v>174</v>
      </c>
      <c r="C41" s="185"/>
      <c r="D41" s="186"/>
      <c r="E41" s="164" t="s">
        <v>195</v>
      </c>
      <c r="F41" s="164"/>
      <c r="G41" s="164"/>
      <c r="H41" s="164"/>
      <c r="I41" s="164"/>
      <c r="J41" s="164"/>
      <c r="K41" s="164"/>
      <c r="L41" s="164"/>
      <c r="M41" s="164"/>
    </row>
    <row r="42" spans="1:22" s="64" customFormat="1" ht="17.399999999999999" customHeight="1" x14ac:dyDescent="0.25">
      <c r="A42" s="89"/>
      <c r="B42" s="160" t="s">
        <v>175</v>
      </c>
      <c r="C42" s="161"/>
      <c r="D42" s="162"/>
      <c r="E42" s="172" t="s">
        <v>185</v>
      </c>
      <c r="F42" s="173"/>
      <c r="G42" s="173"/>
      <c r="H42" s="173"/>
      <c r="I42" s="173"/>
      <c r="J42" s="173"/>
      <c r="K42" s="173"/>
      <c r="L42" s="173"/>
      <c r="M42" s="174"/>
      <c r="N42" s="60"/>
      <c r="O42" s="60"/>
      <c r="P42" s="60"/>
      <c r="Q42" s="60"/>
      <c r="R42" s="61"/>
      <c r="S42" s="60"/>
      <c r="T42" s="60"/>
      <c r="U42" s="60"/>
      <c r="V42" s="60"/>
    </row>
    <row r="43" spans="1:22" s="64" customFormat="1" x14ac:dyDescent="0.25">
      <c r="A43" s="89"/>
      <c r="B43" s="160" t="s">
        <v>176</v>
      </c>
      <c r="C43" s="161"/>
      <c r="D43" s="162"/>
      <c r="E43" s="163" t="s">
        <v>186</v>
      </c>
      <c r="F43" s="163"/>
      <c r="G43" s="163"/>
      <c r="H43" s="163"/>
      <c r="I43" s="163"/>
      <c r="J43" s="163"/>
      <c r="K43" s="163"/>
      <c r="L43" s="163"/>
      <c r="M43" s="163"/>
      <c r="N43" s="60"/>
      <c r="O43" s="60"/>
      <c r="P43" s="60"/>
      <c r="Q43" s="60"/>
      <c r="R43" s="61"/>
      <c r="S43" s="60"/>
      <c r="T43" s="60"/>
      <c r="U43" s="60"/>
      <c r="V43" s="60"/>
    </row>
    <row r="44" spans="1:22" x14ac:dyDescent="0.25">
      <c r="A44" s="94"/>
      <c r="B44" s="184" t="s">
        <v>177</v>
      </c>
      <c r="C44" s="185"/>
      <c r="D44" s="186"/>
      <c r="E44" s="163" t="s">
        <v>187</v>
      </c>
      <c r="F44" s="163"/>
      <c r="G44" s="163"/>
      <c r="H44" s="163"/>
      <c r="I44" s="163"/>
      <c r="J44" s="163"/>
      <c r="K44" s="163"/>
      <c r="L44" s="163"/>
      <c r="M44" s="163"/>
    </row>
    <row r="45" spans="1:22" x14ac:dyDescent="0.25">
      <c r="A45" s="94"/>
      <c r="B45" s="184" t="s">
        <v>178</v>
      </c>
      <c r="C45" s="185"/>
      <c r="D45" s="186"/>
      <c r="E45" s="163" t="s">
        <v>188</v>
      </c>
      <c r="F45" s="163"/>
      <c r="G45" s="163"/>
      <c r="H45" s="163"/>
      <c r="I45" s="163"/>
      <c r="J45" s="163"/>
      <c r="K45" s="163"/>
      <c r="L45" s="163"/>
      <c r="M45" s="163"/>
    </row>
    <row r="46" spans="1:22" x14ac:dyDescent="0.25">
      <c r="A46" s="94"/>
      <c r="B46" s="118" t="s">
        <v>179</v>
      </c>
      <c r="C46" s="99" t="s">
        <v>11</v>
      </c>
      <c r="D46" s="119"/>
      <c r="E46" s="157" t="s">
        <v>58</v>
      </c>
      <c r="F46" s="158" t="s">
        <v>57</v>
      </c>
      <c r="G46" s="157" t="s">
        <v>56</v>
      </c>
      <c r="H46" s="158" t="s">
        <v>55</v>
      </c>
      <c r="I46" s="157" t="s">
        <v>54</v>
      </c>
      <c r="J46" s="158" t="s">
        <v>53</v>
      </c>
      <c r="K46" s="157" t="s">
        <v>52</v>
      </c>
      <c r="L46" s="158" t="s">
        <v>51</v>
      </c>
      <c r="M46" s="157" t="s">
        <v>51</v>
      </c>
    </row>
    <row r="47" spans="1:22" x14ac:dyDescent="0.25">
      <c r="A47" s="94"/>
      <c r="B47" s="118" t="s">
        <v>180</v>
      </c>
      <c r="C47" s="99" t="s">
        <v>11</v>
      </c>
      <c r="D47" s="119"/>
      <c r="E47" s="157" t="s">
        <v>50</v>
      </c>
      <c r="F47" s="158" t="s">
        <v>49</v>
      </c>
      <c r="G47" s="157" t="s">
        <v>48</v>
      </c>
      <c r="H47" s="158" t="s">
        <v>47</v>
      </c>
      <c r="I47" s="157" t="s">
        <v>46</v>
      </c>
      <c r="J47" s="158" t="s">
        <v>45</v>
      </c>
      <c r="K47" s="157" t="s">
        <v>44</v>
      </c>
      <c r="L47" s="158" t="s">
        <v>43</v>
      </c>
      <c r="M47" s="157" t="s">
        <v>43</v>
      </c>
    </row>
    <row r="48" spans="1:22" x14ac:dyDescent="0.25">
      <c r="A48" s="94"/>
      <c r="B48" s="118" t="s">
        <v>182</v>
      </c>
      <c r="C48" s="99" t="s">
        <v>0</v>
      </c>
      <c r="D48" s="119"/>
      <c r="E48" s="131">
        <v>11.4</v>
      </c>
      <c r="F48" s="132">
        <v>12.5</v>
      </c>
      <c r="G48" s="131">
        <v>15.5</v>
      </c>
      <c r="H48" s="132">
        <v>16.5</v>
      </c>
      <c r="I48" s="131">
        <v>17.899999999999999</v>
      </c>
      <c r="J48" s="132">
        <v>23.9</v>
      </c>
      <c r="K48" s="131">
        <v>25.7</v>
      </c>
      <c r="L48" s="132">
        <v>30.7</v>
      </c>
      <c r="M48" s="131">
        <v>31.6</v>
      </c>
    </row>
    <row r="49" spans="1:13" x14ac:dyDescent="0.25">
      <c r="A49" s="94"/>
      <c r="B49" s="118" t="s">
        <v>181</v>
      </c>
      <c r="C49" s="99" t="s">
        <v>0</v>
      </c>
      <c r="D49" s="119"/>
      <c r="E49" s="131">
        <v>12.6</v>
      </c>
      <c r="F49" s="132">
        <v>13.8</v>
      </c>
      <c r="G49" s="131">
        <v>17</v>
      </c>
      <c r="H49" s="132">
        <v>18.2</v>
      </c>
      <c r="I49" s="131">
        <v>19.7</v>
      </c>
      <c r="J49" s="132">
        <v>26.2</v>
      </c>
      <c r="K49" s="131">
        <v>28.1</v>
      </c>
      <c r="L49" s="132">
        <v>33.700000000000003</v>
      </c>
      <c r="M49" s="131">
        <v>34.6</v>
      </c>
    </row>
    <row r="50" spans="1:13" x14ac:dyDescent="0.25">
      <c r="C50" s="62"/>
      <c r="D50" s="62"/>
    </row>
  </sheetData>
  <sheetProtection algorithmName="SHA-512" hashValue="LeoAEQjTZ+t0+BxeJv0NtR3ozOx5DQakq7JJUO6dK+BByQFG5ogXnOyPh60VwuLNxU19C4TSG4h0W4MRSnOopw==" saltValue="cUsi5L5U2cn1PcV8dAqu6w==" spinCount="100000" sheet="1" objects="1" scenarios="1" formatCells="0" formatColumns="0" formatRows="0" insertColumns="0" insertRows="0" insertHyperlinks="0" deleteColumns="0" deleteRows="0"/>
  <mergeCells count="37">
    <mergeCell ref="F6:I7"/>
    <mergeCell ref="C26:C28"/>
    <mergeCell ref="B12:D12"/>
    <mergeCell ref="B13:B15"/>
    <mergeCell ref="C13:C15"/>
    <mergeCell ref="B16:B18"/>
    <mergeCell ref="C16:C18"/>
    <mergeCell ref="F8:I8"/>
    <mergeCell ref="F10:G10"/>
    <mergeCell ref="H10:I10"/>
    <mergeCell ref="C32:C34"/>
    <mergeCell ref="E38:M38"/>
    <mergeCell ref="B39:D39"/>
    <mergeCell ref="E39:M39"/>
    <mergeCell ref="B19:B21"/>
    <mergeCell ref="C19:C21"/>
    <mergeCell ref="B22:B24"/>
    <mergeCell ref="C22:C24"/>
    <mergeCell ref="E25:M25"/>
    <mergeCell ref="B26:B28"/>
    <mergeCell ref="B29:B31"/>
    <mergeCell ref="C29:C31"/>
    <mergeCell ref="B32:B34"/>
    <mergeCell ref="B36:B37"/>
    <mergeCell ref="C36:C37"/>
    <mergeCell ref="B45:D45"/>
    <mergeCell ref="E45:M45"/>
    <mergeCell ref="B40:D40"/>
    <mergeCell ref="E40:M40"/>
    <mergeCell ref="B41:D41"/>
    <mergeCell ref="E41:M41"/>
    <mergeCell ref="B42:D42"/>
    <mergeCell ref="E42:M42"/>
    <mergeCell ref="B43:D43"/>
    <mergeCell ref="E43:M43"/>
    <mergeCell ref="B44:D44"/>
    <mergeCell ref="E44:M44"/>
  </mergeCells>
  <conditionalFormatting sqref="E16:M21">
    <cfRule type="cellIs" dxfId="4" priority="1" operator="between">
      <formula>$V$4</formula>
      <formula>$V$5</formula>
    </cfRule>
  </conditionalFormatting>
  <conditionalFormatting sqref="E22:M24">
    <cfRule type="cellIs" dxfId="3" priority="2" operator="between">
      <formula>$V$4</formula>
      <formula>$V$5</formula>
    </cfRule>
  </conditionalFormatting>
  <printOptions horizontalCentered="1"/>
  <pageMargins left="0.78740157480314965" right="0.39370078740157483" top="0.35433070866141736" bottom="0.35433070866141736" header="0.31496062992125984" footer="0.31496062992125984"/>
  <pageSetup scale="50" orientation="portrait" r:id="rId1"/>
  <rowBreaks count="1" manualBreakCount="1">
    <brk id="49" min="1" max="12" man="1"/>
  </rowBreaks>
  <ignoredErrors>
    <ignoredError sqref="E13:M24 E35:M35"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3F1EA-703C-4321-8A49-D616BB256EE9}">
  <dimension ref="B1:V97"/>
  <sheetViews>
    <sheetView showGridLines="0" zoomScale="70" zoomScaleNormal="70" zoomScaleSheetLayoutView="90" workbookViewId="0">
      <selection activeCell="M3" sqref="M3"/>
    </sheetView>
  </sheetViews>
  <sheetFormatPr defaultColWidth="8.77734375" defaultRowHeight="17.399999999999999" x14ac:dyDescent="0.25"/>
  <cols>
    <col min="1" max="1" width="5.44140625" style="62" customWidth="1"/>
    <col min="2" max="2" width="30.77734375" style="62" customWidth="1"/>
    <col min="3" max="3" width="7.109375" style="63" bestFit="1" customWidth="1"/>
    <col min="4" max="4" width="11.109375" style="63" customWidth="1"/>
    <col min="5" max="6" width="20.44140625" style="64" customWidth="1"/>
    <col min="7" max="7" width="21.6640625" style="64" customWidth="1"/>
    <col min="8" max="8" width="21.44140625" style="64" customWidth="1"/>
    <col min="9" max="9" width="21.6640625" style="64" customWidth="1"/>
    <col min="10" max="10" width="22.44140625" style="64" customWidth="1"/>
    <col min="11" max="11" width="22.109375" style="64" customWidth="1"/>
    <col min="12" max="12" width="23.33203125" style="64" customWidth="1"/>
    <col min="13" max="13" width="21.33203125" style="64" customWidth="1"/>
    <col min="14" max="17" width="10.109375" style="60" customWidth="1"/>
    <col min="18" max="18" width="6.6640625" style="61" bestFit="1" customWidth="1"/>
    <col min="19" max="19" width="9.109375" style="60" customWidth="1"/>
    <col min="20" max="20" width="8" style="60" customWidth="1"/>
    <col min="21" max="21" width="19.6640625" style="60" hidden="1" customWidth="1"/>
    <col min="22" max="22" width="8.44140625" style="60" hidden="1" customWidth="1"/>
    <col min="23" max="23" width="0" style="62" hidden="1" customWidth="1"/>
    <col min="24" max="16384" width="8.77734375" style="62"/>
  </cols>
  <sheetData>
    <row r="1" spans="2:22" ht="17.399999999999999" customHeight="1" x14ac:dyDescent="0.25">
      <c r="B1" s="139"/>
      <c r="C1" s="139"/>
      <c r="D1" s="139"/>
      <c r="E1" s="140"/>
      <c r="F1" s="140"/>
      <c r="G1" s="140"/>
      <c r="H1" s="140"/>
      <c r="I1" s="140"/>
      <c r="J1" s="140"/>
      <c r="K1" s="140"/>
      <c r="L1" s="140"/>
      <c r="M1" s="59"/>
      <c r="N1" s="2"/>
    </row>
    <row r="2" spans="2:22" ht="17.399999999999999" customHeight="1" x14ac:dyDescent="0.25">
      <c r="B2" s="94"/>
      <c r="C2" s="95"/>
      <c r="D2" s="95"/>
      <c r="E2" s="89"/>
      <c r="F2" s="89"/>
      <c r="G2" s="89"/>
      <c r="H2" s="89"/>
      <c r="I2" s="89"/>
      <c r="J2" s="89"/>
      <c r="K2" s="89"/>
      <c r="L2" s="89"/>
      <c r="M2" s="89"/>
      <c r="N2" s="2"/>
      <c r="T2" s="67"/>
      <c r="U2" s="61" t="s">
        <v>42</v>
      </c>
      <c r="V2" s="65">
        <f>M3-M4</f>
        <v>-5</v>
      </c>
    </row>
    <row r="3" spans="2:22" ht="17.399999999999999" customHeight="1" x14ac:dyDescent="0.25">
      <c r="B3" s="94"/>
      <c r="C3" s="95"/>
      <c r="D3" s="95"/>
      <c r="E3" s="89"/>
      <c r="F3" s="89"/>
      <c r="G3" s="89"/>
      <c r="H3" s="89"/>
      <c r="I3" s="89"/>
      <c r="J3" s="89"/>
      <c r="K3" s="90"/>
      <c r="L3" s="91" t="s">
        <v>149</v>
      </c>
      <c r="M3" s="5">
        <v>7</v>
      </c>
      <c r="N3" s="66"/>
      <c r="U3" s="61" t="s">
        <v>41</v>
      </c>
      <c r="V3" s="65">
        <f>IF((M5-(M4+M3)/2)&lt;0, 0-(M5-(M4+M3)/2),(M5-(M4+M3)/2))</f>
        <v>17.5</v>
      </c>
    </row>
    <row r="4" spans="2:22" ht="17.399999999999999" customHeight="1" x14ac:dyDescent="0.25">
      <c r="B4" s="94"/>
      <c r="C4" s="95"/>
      <c r="D4" s="95"/>
      <c r="E4" s="89"/>
      <c r="F4" s="89"/>
      <c r="G4" s="89"/>
      <c r="H4" s="89"/>
      <c r="I4" s="89"/>
      <c r="J4" s="89"/>
      <c r="K4" s="92"/>
      <c r="L4" s="91" t="s">
        <v>150</v>
      </c>
      <c r="M4" s="5">
        <v>12</v>
      </c>
      <c r="N4" s="2"/>
      <c r="V4" s="68">
        <f>IF(M7*(1-$M$9)=0,0.00001,M7*(1-$M$9))</f>
        <v>2450</v>
      </c>
    </row>
    <row r="5" spans="2:22" ht="17.399999999999999" customHeight="1" x14ac:dyDescent="0.25">
      <c r="B5" s="94"/>
      <c r="C5" s="141"/>
      <c r="D5" s="141"/>
      <c r="E5" s="142"/>
      <c r="F5" s="89"/>
      <c r="G5" s="89"/>
      <c r="H5" s="89"/>
      <c r="I5" s="89"/>
      <c r="J5" s="142"/>
      <c r="K5" s="90"/>
      <c r="L5" s="91" t="s">
        <v>151</v>
      </c>
      <c r="M5" s="5">
        <v>27</v>
      </c>
      <c r="N5" s="69"/>
      <c r="V5" s="68">
        <f>IF(M7*(1+$M$8)=0,0.00001,M7*(1+$M$8))</f>
        <v>2750</v>
      </c>
    </row>
    <row r="6" spans="2:22" ht="17.399999999999999" customHeight="1" x14ac:dyDescent="0.25">
      <c r="B6" s="94"/>
      <c r="C6" s="143"/>
      <c r="D6" s="143"/>
      <c r="E6" s="144"/>
      <c r="F6" s="89"/>
      <c r="G6" s="195" t="s">
        <v>189</v>
      </c>
      <c r="H6" s="195"/>
      <c r="I6" s="195"/>
      <c r="J6" s="195"/>
      <c r="K6" s="92"/>
      <c r="L6" s="92"/>
      <c r="M6" s="2"/>
      <c r="N6" s="2"/>
    </row>
    <row r="7" spans="2:22" ht="17.399999999999999" customHeight="1" x14ac:dyDescent="0.25">
      <c r="B7" s="94"/>
      <c r="C7" s="146"/>
      <c r="D7" s="146"/>
      <c r="E7" s="147"/>
      <c r="F7" s="89"/>
      <c r="G7" s="195"/>
      <c r="H7" s="195"/>
      <c r="I7" s="195"/>
      <c r="J7" s="195"/>
      <c r="K7" s="92"/>
      <c r="L7" s="91" t="s">
        <v>152</v>
      </c>
      <c r="M7" s="4">
        <v>2500</v>
      </c>
      <c r="N7" s="2"/>
      <c r="S7" s="61"/>
      <c r="T7" s="61"/>
    </row>
    <row r="8" spans="2:22" ht="17.399999999999999" customHeight="1" x14ac:dyDescent="0.25">
      <c r="B8" s="94"/>
      <c r="C8" s="133"/>
      <c r="D8" s="133"/>
      <c r="E8" s="134"/>
      <c r="F8" s="89"/>
      <c r="G8" s="196" t="s">
        <v>146</v>
      </c>
      <c r="H8" s="196"/>
      <c r="I8" s="196"/>
      <c r="J8" s="196"/>
      <c r="K8" s="92"/>
      <c r="L8" s="91" t="s">
        <v>153</v>
      </c>
      <c r="M8" s="6">
        <v>0.1</v>
      </c>
      <c r="N8" s="2"/>
      <c r="O8" s="62"/>
      <c r="P8" s="62"/>
      <c r="Q8" s="62"/>
    </row>
    <row r="9" spans="2:22" ht="17.25" customHeight="1" thickBot="1" x14ac:dyDescent="0.3">
      <c r="B9" s="94"/>
      <c r="C9" s="95"/>
      <c r="D9" s="94"/>
      <c r="E9" s="89"/>
      <c r="F9" s="89"/>
      <c r="G9" s="89"/>
      <c r="H9" s="89"/>
      <c r="I9" s="89"/>
      <c r="J9" s="89"/>
      <c r="K9" s="92"/>
      <c r="L9" s="91" t="s">
        <v>154</v>
      </c>
      <c r="M9" s="6">
        <v>0.02</v>
      </c>
      <c r="N9" s="2"/>
      <c r="O9" s="67"/>
      <c r="P9" s="61"/>
      <c r="Q9" s="3"/>
    </row>
    <row r="10" spans="2:22" ht="17.25" customHeight="1" thickBot="1" x14ac:dyDescent="0.3">
      <c r="B10" s="94"/>
      <c r="C10" s="95"/>
      <c r="D10" s="94"/>
      <c r="E10" s="89"/>
      <c r="F10" s="89"/>
      <c r="G10" s="187" t="s">
        <v>194</v>
      </c>
      <c r="H10" s="188"/>
      <c r="I10" s="187" t="s">
        <v>190</v>
      </c>
      <c r="J10" s="188"/>
      <c r="K10" s="92"/>
      <c r="L10" s="91"/>
      <c r="M10" s="93"/>
      <c r="N10" s="2"/>
      <c r="O10" s="67"/>
      <c r="P10" s="61"/>
      <c r="Q10" s="3"/>
    </row>
    <row r="11" spans="2:22" ht="15.75" customHeight="1" x14ac:dyDescent="0.25">
      <c r="B11" s="94"/>
      <c r="C11" s="95"/>
      <c r="D11" s="95"/>
      <c r="E11" s="89"/>
      <c r="F11" s="89"/>
      <c r="G11" s="89"/>
      <c r="H11" s="89"/>
      <c r="I11" s="89"/>
      <c r="J11" s="89"/>
      <c r="K11" s="89"/>
      <c r="L11" s="89"/>
      <c r="M11" s="89"/>
      <c r="N11" s="2"/>
      <c r="O11" s="67"/>
      <c r="P11" s="61"/>
      <c r="Q11" s="3"/>
    </row>
    <row r="12" spans="2:22" s="151" customFormat="1" ht="34.950000000000003" customHeight="1" x14ac:dyDescent="0.25">
      <c r="B12" s="192" t="s">
        <v>155</v>
      </c>
      <c r="C12" s="193"/>
      <c r="D12" s="194"/>
      <c r="E12" s="96" t="s">
        <v>127</v>
      </c>
      <c r="F12" s="97" t="s">
        <v>128</v>
      </c>
      <c r="G12" s="96" t="s">
        <v>129</v>
      </c>
      <c r="H12" s="97" t="s">
        <v>130</v>
      </c>
      <c r="I12" s="96" t="s">
        <v>131</v>
      </c>
      <c r="J12" s="97" t="s">
        <v>132</v>
      </c>
      <c r="K12" s="96" t="s">
        <v>133</v>
      </c>
      <c r="L12" s="97" t="s">
        <v>134</v>
      </c>
      <c r="M12" s="96" t="s">
        <v>135</v>
      </c>
      <c r="N12" s="148"/>
      <c r="O12" s="148"/>
      <c r="P12" s="148"/>
      <c r="Q12" s="148"/>
      <c r="R12" s="149"/>
      <c r="S12" s="150"/>
      <c r="T12" s="150"/>
      <c r="U12" s="150"/>
      <c r="V12" s="150"/>
    </row>
    <row r="13" spans="2:22" s="94" customFormat="1" x14ac:dyDescent="0.25">
      <c r="B13" s="165" t="s">
        <v>159</v>
      </c>
      <c r="C13" s="167" t="s">
        <v>39</v>
      </c>
      <c r="D13" s="99" t="s">
        <v>156</v>
      </c>
      <c r="E13" s="88">
        <v>340</v>
      </c>
      <c r="F13" s="100">
        <v>510</v>
      </c>
      <c r="G13" s="88">
        <v>680</v>
      </c>
      <c r="H13" s="100">
        <v>850</v>
      </c>
      <c r="I13" s="88">
        <v>1020</v>
      </c>
      <c r="J13" s="100">
        <v>1360</v>
      </c>
      <c r="K13" s="88">
        <v>1700</v>
      </c>
      <c r="L13" s="100">
        <v>2040</v>
      </c>
      <c r="M13" s="88">
        <v>2380</v>
      </c>
      <c r="N13" s="148"/>
      <c r="O13" s="150"/>
      <c r="P13" s="149"/>
      <c r="R13" s="149"/>
      <c r="S13" s="150"/>
      <c r="T13" s="150"/>
    </row>
    <row r="14" spans="2:22" s="94" customFormat="1" x14ac:dyDescent="0.25">
      <c r="B14" s="165"/>
      <c r="C14" s="168"/>
      <c r="D14" s="99" t="s">
        <v>157</v>
      </c>
      <c r="E14" s="88">
        <v>255</v>
      </c>
      <c r="F14" s="100">
        <v>382</v>
      </c>
      <c r="G14" s="88">
        <v>510</v>
      </c>
      <c r="H14" s="100">
        <v>637</v>
      </c>
      <c r="I14" s="88">
        <v>765</v>
      </c>
      <c r="J14" s="100">
        <v>1122</v>
      </c>
      <c r="K14" s="88">
        <v>1402</v>
      </c>
      <c r="L14" s="100">
        <v>1683</v>
      </c>
      <c r="M14" s="88">
        <v>1927</v>
      </c>
      <c r="N14" s="148"/>
      <c r="O14" s="92"/>
      <c r="P14" s="91"/>
      <c r="R14" s="149"/>
      <c r="S14" s="150"/>
      <c r="T14" s="150"/>
    </row>
    <row r="15" spans="2:22" s="94" customFormat="1" ht="18" thickBot="1" x14ac:dyDescent="0.3">
      <c r="B15" s="170"/>
      <c r="C15" s="168"/>
      <c r="D15" s="98" t="s">
        <v>158</v>
      </c>
      <c r="E15" s="101">
        <v>170</v>
      </c>
      <c r="F15" s="102">
        <v>255</v>
      </c>
      <c r="G15" s="101">
        <v>340</v>
      </c>
      <c r="H15" s="102">
        <v>425</v>
      </c>
      <c r="I15" s="101">
        <v>510</v>
      </c>
      <c r="J15" s="102">
        <v>850</v>
      </c>
      <c r="K15" s="101">
        <v>1062</v>
      </c>
      <c r="L15" s="102">
        <v>1275</v>
      </c>
      <c r="M15" s="101">
        <v>1487</v>
      </c>
      <c r="N15" s="148"/>
      <c r="O15" s="150"/>
      <c r="P15" s="149"/>
      <c r="R15" s="149"/>
      <c r="S15" s="150"/>
      <c r="T15" s="150"/>
    </row>
    <row r="16" spans="2:22" s="94" customFormat="1" ht="17.399999999999999" customHeight="1" x14ac:dyDescent="0.25">
      <c r="B16" s="176" t="s">
        <v>160</v>
      </c>
      <c r="C16" s="179" t="s">
        <v>38</v>
      </c>
      <c r="D16" s="103" t="s">
        <v>156</v>
      </c>
      <c r="E16" s="104">
        <f>IF($V$2&gt;0,"",IF($V$3&gt;13.5,278.04*$V$3-2673.3,E19))</f>
        <v>2192.4000000000005</v>
      </c>
      <c r="F16" s="105">
        <f>IF($V$2&gt;0,"",IF($V$3&gt;13.5,413.59*$V$3-4106.2,F19))</f>
        <v>3131.625</v>
      </c>
      <c r="G16" s="104">
        <f>IF($V$2&gt;0,"",IF($V$3&gt;13.5,546.05*$V$3-5428,G19))</f>
        <v>4127.875</v>
      </c>
      <c r="H16" s="105">
        <f>IF($V$2&gt;0,"",IF($V$3&gt;13.5,627.08*$V$3-6221.7,H19))</f>
        <v>4752.2000000000016</v>
      </c>
      <c r="I16" s="104">
        <f>IF($V$2&gt;0,"",IF($V$3&gt;13.5,815.16*$V$3-8123.6,I19))</f>
        <v>6141.6999999999989</v>
      </c>
      <c r="J16" s="105">
        <f>IF($V$2&gt;0,"",IF($V$3&gt;13.5,1092.2*$V$3-10933,J19))</f>
        <v>8180.5</v>
      </c>
      <c r="K16" s="104">
        <f>IF($V$2&gt;0,"",IF($V$3&gt;13.5,1251.4*$V$3-12564,K19))</f>
        <v>9335.5</v>
      </c>
      <c r="L16" s="105">
        <f>IF($V$2&gt;0,"",IF($V$3&gt;13.5,1379*$V$3-12493,L19))</f>
        <v>11639.5</v>
      </c>
      <c r="M16" s="106">
        <f>IF($V$2&gt;0,"",IF($V$3&gt;13.5,1604.7*$V$3-15579,M19))</f>
        <v>12503.25</v>
      </c>
      <c r="N16" s="148"/>
      <c r="O16" s="152"/>
      <c r="P16" s="152"/>
      <c r="R16" s="149"/>
      <c r="S16" s="150"/>
      <c r="T16" s="150"/>
    </row>
    <row r="17" spans="2:22" s="94" customFormat="1" x14ac:dyDescent="0.25">
      <c r="B17" s="177"/>
      <c r="C17" s="168"/>
      <c r="D17" s="99" t="s">
        <v>157</v>
      </c>
      <c r="E17" s="107">
        <f>IFERROR(ROUND(E16*0.86,0),"")</f>
        <v>1885</v>
      </c>
      <c r="F17" s="108">
        <f t="shared" ref="F17:M17" si="0">IFERROR(ROUND(F16*0.86,0),"")</f>
        <v>2693</v>
      </c>
      <c r="G17" s="107">
        <f t="shared" si="0"/>
        <v>3550</v>
      </c>
      <c r="H17" s="108">
        <f t="shared" si="0"/>
        <v>4087</v>
      </c>
      <c r="I17" s="107">
        <f t="shared" si="0"/>
        <v>5282</v>
      </c>
      <c r="J17" s="108">
        <f t="shared" si="0"/>
        <v>7035</v>
      </c>
      <c r="K17" s="107">
        <f t="shared" si="0"/>
        <v>8029</v>
      </c>
      <c r="L17" s="108">
        <f t="shared" si="0"/>
        <v>10010</v>
      </c>
      <c r="M17" s="109">
        <f t="shared" si="0"/>
        <v>10753</v>
      </c>
      <c r="N17" s="148"/>
      <c r="O17" s="152"/>
      <c r="P17" s="149"/>
      <c r="R17" s="149"/>
      <c r="S17" s="150"/>
      <c r="T17" s="150"/>
      <c r="U17" s="150"/>
      <c r="V17" s="150"/>
    </row>
    <row r="18" spans="2:22" s="94" customFormat="1" ht="18" thickBot="1" x14ac:dyDescent="0.3">
      <c r="B18" s="178"/>
      <c r="C18" s="180"/>
      <c r="D18" s="110" t="s">
        <v>158</v>
      </c>
      <c r="E18" s="111">
        <f>IFERROR(ROUND(E16*0.63,0),"")</f>
        <v>1381</v>
      </c>
      <c r="F18" s="112">
        <f t="shared" ref="F18:M18" si="1">IFERROR(ROUND(F16*0.63,0),"")</f>
        <v>1973</v>
      </c>
      <c r="G18" s="111">
        <f t="shared" si="1"/>
        <v>2601</v>
      </c>
      <c r="H18" s="112">
        <f t="shared" si="1"/>
        <v>2994</v>
      </c>
      <c r="I18" s="111">
        <f t="shared" si="1"/>
        <v>3869</v>
      </c>
      <c r="J18" s="112">
        <f t="shared" si="1"/>
        <v>5154</v>
      </c>
      <c r="K18" s="111">
        <f t="shared" si="1"/>
        <v>5881</v>
      </c>
      <c r="L18" s="112">
        <f t="shared" si="1"/>
        <v>7333</v>
      </c>
      <c r="M18" s="113">
        <f t="shared" si="1"/>
        <v>7877</v>
      </c>
      <c r="N18" s="148"/>
      <c r="O18" s="152"/>
      <c r="P18" s="149"/>
      <c r="R18" s="153"/>
      <c r="S18" s="150"/>
      <c r="T18" s="150"/>
      <c r="U18" s="150"/>
      <c r="V18" s="150"/>
    </row>
    <row r="19" spans="2:22" s="149" customFormat="1" ht="17.399999999999999" customHeight="1" x14ac:dyDescent="0.25">
      <c r="B19" s="176" t="s">
        <v>161</v>
      </c>
      <c r="C19" s="179" t="s">
        <v>38</v>
      </c>
      <c r="D19" s="103" t="s">
        <v>156</v>
      </c>
      <c r="E19" s="104">
        <f>IF($V$2&lt;0,106.7*$V$3-250.47,"")</f>
        <v>1616.78</v>
      </c>
      <c r="F19" s="105">
        <f>IF($V$2&lt;0,153.59*$V$3-373.72,"")</f>
        <v>2314.1050000000005</v>
      </c>
      <c r="G19" s="104">
        <f>IF($V$2&lt;0,203.16*$V$3-517.25,"")</f>
        <v>3038.0499999999997</v>
      </c>
      <c r="H19" s="105">
        <f>IF($V$2&lt;0,235.8*$V$3-626.62,"")</f>
        <v>3499.88</v>
      </c>
      <c r="I19" s="104">
        <f>IF($V$2&lt;0,302.79*$V$3-727.94,"")</f>
        <v>4570.8850000000002</v>
      </c>
      <c r="J19" s="105">
        <f>IF($V$2&lt;0,403.26*$V$3-1025.3,"")</f>
        <v>6031.75</v>
      </c>
      <c r="K19" s="104">
        <f>IF($V$2&lt;0,467.07*$V$3-1259.8,"")</f>
        <v>6913.9249999999993</v>
      </c>
      <c r="L19" s="105">
        <f>IF($V$2&lt;0,531.33*$V$3-1012,"")</f>
        <v>8286.2750000000015</v>
      </c>
      <c r="M19" s="106">
        <f>IF($V$2&lt;0,614.34*$V$3-1545.7,"")</f>
        <v>9205.25</v>
      </c>
      <c r="N19" s="148"/>
      <c r="O19" s="152"/>
      <c r="S19" s="150"/>
      <c r="T19" s="150"/>
      <c r="U19" s="150"/>
      <c r="V19" s="150"/>
    </row>
    <row r="20" spans="2:22" s="149" customFormat="1" x14ac:dyDescent="0.25">
      <c r="B20" s="177"/>
      <c r="C20" s="168"/>
      <c r="D20" s="99" t="s">
        <v>157</v>
      </c>
      <c r="E20" s="107">
        <f>IFERROR(ROUND(E19*0.86,0),"")</f>
        <v>1390</v>
      </c>
      <c r="F20" s="108">
        <f t="shared" ref="F20:M20" si="2">IFERROR(ROUND(F19*0.86,0),"")</f>
        <v>1990</v>
      </c>
      <c r="G20" s="107">
        <f t="shared" si="2"/>
        <v>2613</v>
      </c>
      <c r="H20" s="108">
        <f t="shared" si="2"/>
        <v>3010</v>
      </c>
      <c r="I20" s="107">
        <f t="shared" si="2"/>
        <v>3931</v>
      </c>
      <c r="J20" s="108">
        <f t="shared" si="2"/>
        <v>5187</v>
      </c>
      <c r="K20" s="107">
        <f t="shared" si="2"/>
        <v>5946</v>
      </c>
      <c r="L20" s="108">
        <f t="shared" si="2"/>
        <v>7126</v>
      </c>
      <c r="M20" s="109">
        <f t="shared" si="2"/>
        <v>7917</v>
      </c>
      <c r="N20" s="148"/>
      <c r="O20" s="148"/>
      <c r="P20" s="148"/>
      <c r="Q20" s="148"/>
      <c r="S20" s="150"/>
      <c r="T20" s="150"/>
      <c r="U20" s="150"/>
      <c r="V20" s="150"/>
    </row>
    <row r="21" spans="2:22" s="149" customFormat="1" ht="18" thickBot="1" x14ac:dyDescent="0.3">
      <c r="B21" s="178"/>
      <c r="C21" s="180"/>
      <c r="D21" s="110" t="s">
        <v>158</v>
      </c>
      <c r="E21" s="111">
        <f>IFERROR(ROUND(E19*0.63,0),"")</f>
        <v>1019</v>
      </c>
      <c r="F21" s="112">
        <f t="shared" ref="F21:M21" si="3">IFERROR(ROUND(F19*0.63,0),"")</f>
        <v>1458</v>
      </c>
      <c r="G21" s="111">
        <f t="shared" si="3"/>
        <v>1914</v>
      </c>
      <c r="H21" s="112">
        <f t="shared" si="3"/>
        <v>2205</v>
      </c>
      <c r="I21" s="111">
        <f t="shared" si="3"/>
        <v>2880</v>
      </c>
      <c r="J21" s="112">
        <f t="shared" si="3"/>
        <v>3800</v>
      </c>
      <c r="K21" s="111">
        <f t="shared" si="3"/>
        <v>4356</v>
      </c>
      <c r="L21" s="112">
        <f t="shared" si="3"/>
        <v>5220</v>
      </c>
      <c r="M21" s="113">
        <f t="shared" si="3"/>
        <v>5799</v>
      </c>
      <c r="N21" s="148"/>
      <c r="O21" s="148"/>
      <c r="P21" s="148"/>
      <c r="Q21" s="148"/>
      <c r="S21" s="150"/>
      <c r="T21" s="150"/>
      <c r="U21" s="150"/>
      <c r="V21" s="150"/>
    </row>
    <row r="22" spans="2:22" s="149" customFormat="1" ht="17.399999999999999" customHeight="1" x14ac:dyDescent="0.25">
      <c r="B22" s="176" t="s">
        <v>162</v>
      </c>
      <c r="C22" s="179" t="s">
        <v>38</v>
      </c>
      <c r="D22" s="103" t="s">
        <v>156</v>
      </c>
      <c r="E22" s="104" t="str">
        <f>IF($V$2&gt;0,67*$V$3-580,"")</f>
        <v/>
      </c>
      <c r="F22" s="105" t="str">
        <f>IF($V$2&gt;0,90.5*$V$3-800,"")</f>
        <v/>
      </c>
      <c r="G22" s="104" t="str">
        <f>IF($V$2&gt;0,125.5*$V$3-1060,"")</f>
        <v/>
      </c>
      <c r="H22" s="105" t="str">
        <f>IF($V$2&gt;0,152*$V$3-1170,"")</f>
        <v/>
      </c>
      <c r="I22" s="104" t="str">
        <f>IF($V$2&gt;0,205*$V$3-1720,"")</f>
        <v/>
      </c>
      <c r="J22" s="105" t="str">
        <f>IF($V$2&gt;0,227.5*$V$3-2030,"")</f>
        <v/>
      </c>
      <c r="K22" s="104" t="str">
        <f>IF($V$2&gt;0,276*$V$3-2310,"")</f>
        <v/>
      </c>
      <c r="L22" s="105" t="str">
        <f>IF($V$2&gt;0,288*$V$3-1780,"")</f>
        <v/>
      </c>
      <c r="M22" s="106" t="str">
        <f>IF($V$2&gt;0,390*$V$3-3380,"")</f>
        <v/>
      </c>
      <c r="N22" s="148"/>
      <c r="O22" s="148"/>
      <c r="P22" s="148"/>
      <c r="Q22" s="148"/>
      <c r="S22" s="150"/>
      <c r="T22" s="150"/>
      <c r="U22" s="150"/>
      <c r="V22" s="150"/>
    </row>
    <row r="23" spans="2:22" s="149" customFormat="1" x14ac:dyDescent="0.25">
      <c r="B23" s="177"/>
      <c r="C23" s="168"/>
      <c r="D23" s="99" t="s">
        <v>157</v>
      </c>
      <c r="E23" s="107" t="str">
        <f t="shared" ref="E23:M23" si="4">IFERROR(ROUND(E22*0.86,0),"")</f>
        <v/>
      </c>
      <c r="F23" s="108" t="str">
        <f t="shared" si="4"/>
        <v/>
      </c>
      <c r="G23" s="107" t="str">
        <f t="shared" si="4"/>
        <v/>
      </c>
      <c r="H23" s="108" t="str">
        <f t="shared" si="4"/>
        <v/>
      </c>
      <c r="I23" s="107" t="str">
        <f t="shared" si="4"/>
        <v/>
      </c>
      <c r="J23" s="108" t="str">
        <f t="shared" si="4"/>
        <v/>
      </c>
      <c r="K23" s="107" t="str">
        <f t="shared" si="4"/>
        <v/>
      </c>
      <c r="L23" s="108" t="str">
        <f t="shared" si="4"/>
        <v/>
      </c>
      <c r="M23" s="109" t="str">
        <f t="shared" si="4"/>
        <v/>
      </c>
      <c r="N23" s="148"/>
      <c r="O23" s="148"/>
      <c r="P23" s="148"/>
      <c r="Q23" s="148"/>
      <c r="S23" s="150"/>
      <c r="T23" s="150"/>
      <c r="U23" s="150"/>
      <c r="V23" s="150"/>
    </row>
    <row r="24" spans="2:22" s="149" customFormat="1" ht="18" thickBot="1" x14ac:dyDescent="0.3">
      <c r="B24" s="178"/>
      <c r="C24" s="180"/>
      <c r="D24" s="110" t="s">
        <v>158</v>
      </c>
      <c r="E24" s="111" t="str">
        <f t="shared" ref="E24:M24" si="5">IFERROR(ROUND(E22*0.73,0),"")</f>
        <v/>
      </c>
      <c r="F24" s="112" t="str">
        <f t="shared" si="5"/>
        <v/>
      </c>
      <c r="G24" s="111" t="str">
        <f t="shared" si="5"/>
        <v/>
      </c>
      <c r="H24" s="112" t="str">
        <f t="shared" si="5"/>
        <v/>
      </c>
      <c r="I24" s="111" t="str">
        <f t="shared" si="5"/>
        <v/>
      </c>
      <c r="J24" s="112" t="str">
        <f t="shared" si="5"/>
        <v/>
      </c>
      <c r="K24" s="111" t="str">
        <f t="shared" si="5"/>
        <v/>
      </c>
      <c r="L24" s="112" t="str">
        <f t="shared" si="5"/>
        <v/>
      </c>
      <c r="M24" s="113" t="str">
        <f t="shared" si="5"/>
        <v/>
      </c>
      <c r="N24" s="148"/>
      <c r="O24" s="148"/>
      <c r="P24" s="148"/>
      <c r="Q24" s="148"/>
      <c r="S24" s="150"/>
      <c r="T24" s="150"/>
      <c r="U24" s="150"/>
      <c r="V24" s="150"/>
    </row>
    <row r="25" spans="2:22" s="149" customFormat="1" x14ac:dyDescent="0.25">
      <c r="B25" s="189" t="s">
        <v>163</v>
      </c>
      <c r="C25" s="190"/>
      <c r="D25" s="191"/>
      <c r="E25" s="159" t="s">
        <v>197</v>
      </c>
      <c r="F25" s="159"/>
      <c r="G25" s="159"/>
      <c r="H25" s="159"/>
      <c r="I25" s="159"/>
      <c r="J25" s="159"/>
      <c r="K25" s="159"/>
      <c r="L25" s="159"/>
      <c r="M25" s="159"/>
      <c r="N25" s="148"/>
      <c r="O25" s="148"/>
      <c r="P25" s="148"/>
      <c r="Q25" s="148"/>
      <c r="S25" s="150"/>
      <c r="T25" s="150"/>
      <c r="U25" s="150"/>
      <c r="V25" s="150"/>
    </row>
    <row r="26" spans="2:22" s="149" customFormat="1" x14ac:dyDescent="0.25">
      <c r="B26" s="165" t="s">
        <v>164</v>
      </c>
      <c r="C26" s="167" t="s">
        <v>36</v>
      </c>
      <c r="D26" s="99" t="s">
        <v>33</v>
      </c>
      <c r="E26" s="88">
        <v>17</v>
      </c>
      <c r="F26" s="100">
        <v>20</v>
      </c>
      <c r="G26" s="88">
        <v>36</v>
      </c>
      <c r="H26" s="100">
        <v>44</v>
      </c>
      <c r="I26" s="88">
        <v>56</v>
      </c>
      <c r="J26" s="100">
        <v>78</v>
      </c>
      <c r="K26" s="88">
        <v>88</v>
      </c>
      <c r="L26" s="100">
        <v>114</v>
      </c>
      <c r="M26" s="88">
        <v>139</v>
      </c>
      <c r="N26" s="148"/>
      <c r="O26" s="148"/>
      <c r="P26" s="148"/>
      <c r="Q26" s="148"/>
      <c r="S26" s="150"/>
      <c r="T26" s="150"/>
      <c r="U26" s="150"/>
      <c r="V26" s="150"/>
    </row>
    <row r="27" spans="2:22" s="149" customFormat="1" x14ac:dyDescent="0.25">
      <c r="B27" s="165"/>
      <c r="C27" s="168"/>
      <c r="D27" s="99" t="s">
        <v>32</v>
      </c>
      <c r="E27" s="88">
        <v>26</v>
      </c>
      <c r="F27" s="100">
        <v>34</v>
      </c>
      <c r="G27" s="88">
        <v>42</v>
      </c>
      <c r="H27" s="100">
        <v>51</v>
      </c>
      <c r="I27" s="88">
        <v>63</v>
      </c>
      <c r="J27" s="100">
        <v>91</v>
      </c>
      <c r="K27" s="88">
        <v>101</v>
      </c>
      <c r="L27" s="100">
        <v>140</v>
      </c>
      <c r="M27" s="88">
        <v>166</v>
      </c>
      <c r="N27" s="148"/>
      <c r="O27" s="148"/>
      <c r="P27" s="148"/>
      <c r="Q27" s="148"/>
      <c r="S27" s="150"/>
      <c r="T27" s="150"/>
      <c r="U27" s="150"/>
      <c r="V27" s="150"/>
    </row>
    <row r="28" spans="2:22" s="149" customFormat="1" x14ac:dyDescent="0.25">
      <c r="B28" s="165"/>
      <c r="C28" s="169"/>
      <c r="D28" s="99" t="s">
        <v>31</v>
      </c>
      <c r="E28" s="88">
        <v>29</v>
      </c>
      <c r="F28" s="100">
        <v>38</v>
      </c>
      <c r="G28" s="88">
        <v>49</v>
      </c>
      <c r="H28" s="100">
        <v>56</v>
      </c>
      <c r="I28" s="88">
        <v>80</v>
      </c>
      <c r="J28" s="100">
        <v>101</v>
      </c>
      <c r="K28" s="88">
        <v>125</v>
      </c>
      <c r="L28" s="100">
        <v>173</v>
      </c>
      <c r="M28" s="88">
        <v>208</v>
      </c>
      <c r="N28" s="148"/>
      <c r="O28" s="148"/>
      <c r="P28" s="148"/>
      <c r="Q28" s="148"/>
      <c r="S28" s="150"/>
      <c r="T28" s="150"/>
      <c r="U28" s="150"/>
      <c r="V28" s="150"/>
    </row>
    <row r="29" spans="2:22" s="149" customFormat="1" x14ac:dyDescent="0.25">
      <c r="B29" s="165" t="s">
        <v>165</v>
      </c>
      <c r="C29" s="167" t="s">
        <v>35</v>
      </c>
      <c r="D29" s="99" t="s">
        <v>33</v>
      </c>
      <c r="E29" s="116">
        <v>7.3913043478260873E-2</v>
      </c>
      <c r="F29" s="117">
        <v>8.6956521739130432E-2</v>
      </c>
      <c r="G29" s="116">
        <v>0.15652173913043479</v>
      </c>
      <c r="H29" s="117">
        <v>0.19130434782608696</v>
      </c>
      <c r="I29" s="116">
        <v>0.24347826086956523</v>
      </c>
      <c r="J29" s="117">
        <v>0.33913043478260868</v>
      </c>
      <c r="K29" s="116">
        <v>0.38260869565217392</v>
      </c>
      <c r="L29" s="117">
        <v>0.4956521739130435</v>
      </c>
      <c r="M29" s="116">
        <v>0.60434782608695647</v>
      </c>
      <c r="N29" s="150"/>
      <c r="O29" s="150"/>
      <c r="P29" s="150"/>
      <c r="Q29" s="150"/>
      <c r="S29" s="150"/>
      <c r="T29" s="150"/>
      <c r="U29" s="150"/>
      <c r="V29" s="150"/>
    </row>
    <row r="30" spans="2:22" s="149" customFormat="1" x14ac:dyDescent="0.25">
      <c r="B30" s="165"/>
      <c r="C30" s="168"/>
      <c r="D30" s="99" t="s">
        <v>32</v>
      </c>
      <c r="E30" s="116">
        <v>0.11304347826086956</v>
      </c>
      <c r="F30" s="117">
        <v>0.14782608695652175</v>
      </c>
      <c r="G30" s="116">
        <v>0.18260869565217391</v>
      </c>
      <c r="H30" s="117">
        <v>0.22173913043478261</v>
      </c>
      <c r="I30" s="116">
        <v>0.27391304347826084</v>
      </c>
      <c r="J30" s="117">
        <v>0.39565217391304347</v>
      </c>
      <c r="K30" s="116">
        <v>0.43913043478260871</v>
      </c>
      <c r="L30" s="117">
        <v>0.60869565217391308</v>
      </c>
      <c r="M30" s="116">
        <v>0.72173913043478266</v>
      </c>
      <c r="N30" s="150"/>
      <c r="O30" s="150"/>
      <c r="P30" s="150"/>
      <c r="Q30" s="150"/>
      <c r="S30" s="150"/>
      <c r="T30" s="150"/>
      <c r="U30" s="150"/>
      <c r="V30" s="150"/>
    </row>
    <row r="31" spans="2:22" s="149" customFormat="1" x14ac:dyDescent="0.25">
      <c r="B31" s="165"/>
      <c r="C31" s="169"/>
      <c r="D31" s="99" t="s">
        <v>31</v>
      </c>
      <c r="E31" s="116">
        <v>0.12608695652173912</v>
      </c>
      <c r="F31" s="117">
        <v>0.16521739130434782</v>
      </c>
      <c r="G31" s="116">
        <v>0.21304347826086956</v>
      </c>
      <c r="H31" s="117">
        <v>0.24347826086956523</v>
      </c>
      <c r="I31" s="116">
        <v>0.34782608695652173</v>
      </c>
      <c r="J31" s="117">
        <v>0.43913043478260871</v>
      </c>
      <c r="K31" s="116">
        <v>0.54347826086956519</v>
      </c>
      <c r="L31" s="117">
        <v>0.75217391304347825</v>
      </c>
      <c r="M31" s="116">
        <v>0.90434782608695652</v>
      </c>
      <c r="N31" s="150"/>
      <c r="O31" s="150"/>
      <c r="P31" s="150"/>
      <c r="Q31" s="150"/>
      <c r="S31" s="150"/>
      <c r="T31" s="150"/>
      <c r="U31" s="150"/>
      <c r="V31" s="150"/>
    </row>
    <row r="32" spans="2:22" s="149" customFormat="1" x14ac:dyDescent="0.25">
      <c r="B32" s="165" t="s">
        <v>166</v>
      </c>
      <c r="C32" s="167" t="s">
        <v>34</v>
      </c>
      <c r="D32" s="99" t="s">
        <v>33</v>
      </c>
      <c r="E32" s="88">
        <v>35</v>
      </c>
      <c r="F32" s="100">
        <v>37</v>
      </c>
      <c r="G32" s="88">
        <v>39</v>
      </c>
      <c r="H32" s="100">
        <v>41</v>
      </c>
      <c r="I32" s="88">
        <v>43</v>
      </c>
      <c r="J32" s="100">
        <v>44</v>
      </c>
      <c r="K32" s="88">
        <v>46</v>
      </c>
      <c r="L32" s="100">
        <v>48</v>
      </c>
      <c r="M32" s="88">
        <v>50</v>
      </c>
      <c r="N32" s="150"/>
      <c r="O32" s="150"/>
      <c r="P32" s="150"/>
      <c r="Q32" s="150"/>
      <c r="S32" s="150"/>
      <c r="T32" s="150"/>
      <c r="U32" s="150"/>
      <c r="V32" s="150"/>
    </row>
    <row r="33" spans="2:22" s="149" customFormat="1" x14ac:dyDescent="0.25">
      <c r="B33" s="166"/>
      <c r="C33" s="168"/>
      <c r="D33" s="99" t="s">
        <v>32</v>
      </c>
      <c r="E33" s="88">
        <v>38</v>
      </c>
      <c r="F33" s="100">
        <v>40</v>
      </c>
      <c r="G33" s="88">
        <v>42</v>
      </c>
      <c r="H33" s="100">
        <v>44</v>
      </c>
      <c r="I33" s="88">
        <v>45</v>
      </c>
      <c r="J33" s="100">
        <v>46</v>
      </c>
      <c r="K33" s="88">
        <v>48</v>
      </c>
      <c r="L33" s="100">
        <v>50</v>
      </c>
      <c r="M33" s="88">
        <v>52</v>
      </c>
      <c r="N33" s="150"/>
      <c r="O33" s="150"/>
      <c r="P33" s="150"/>
      <c r="Q33" s="150"/>
      <c r="S33" s="150"/>
      <c r="T33" s="150"/>
      <c r="U33" s="150"/>
      <c r="V33" s="150"/>
    </row>
    <row r="34" spans="2:22" s="149" customFormat="1" x14ac:dyDescent="0.25">
      <c r="B34" s="166"/>
      <c r="C34" s="169"/>
      <c r="D34" s="99" t="s">
        <v>31</v>
      </c>
      <c r="E34" s="88">
        <v>40</v>
      </c>
      <c r="F34" s="100">
        <v>42</v>
      </c>
      <c r="G34" s="88">
        <v>44</v>
      </c>
      <c r="H34" s="100">
        <v>45</v>
      </c>
      <c r="I34" s="88">
        <v>47</v>
      </c>
      <c r="J34" s="100">
        <v>48</v>
      </c>
      <c r="K34" s="88">
        <v>50</v>
      </c>
      <c r="L34" s="100">
        <v>52</v>
      </c>
      <c r="M34" s="88">
        <v>54</v>
      </c>
      <c r="N34" s="150"/>
      <c r="O34" s="150"/>
      <c r="P34" s="150"/>
      <c r="Q34" s="150"/>
      <c r="S34" s="150"/>
      <c r="T34" s="150"/>
      <c r="U34" s="150"/>
      <c r="V34" s="150"/>
    </row>
    <row r="35" spans="2:22" s="150" customFormat="1" x14ac:dyDescent="0.25">
      <c r="B35" s="170" t="s">
        <v>167</v>
      </c>
      <c r="C35" s="167" t="s">
        <v>30</v>
      </c>
      <c r="D35" s="119" t="s">
        <v>169</v>
      </c>
      <c r="E35" s="120">
        <f>IF(E16="","",ROUND(E16/(1.163*($M$4-$M$3)),0))</f>
        <v>377</v>
      </c>
      <c r="F35" s="121">
        <f t="shared" ref="F35:L35" si="6">IF(F16="","",ROUND(F16/(1.163*($M$4-$M$3)),0))</f>
        <v>539</v>
      </c>
      <c r="G35" s="120">
        <f t="shared" si="6"/>
        <v>710</v>
      </c>
      <c r="H35" s="122">
        <f t="shared" si="6"/>
        <v>817</v>
      </c>
      <c r="I35" s="120">
        <f t="shared" si="6"/>
        <v>1056</v>
      </c>
      <c r="J35" s="122">
        <f t="shared" si="6"/>
        <v>1407</v>
      </c>
      <c r="K35" s="120">
        <f t="shared" si="6"/>
        <v>1605</v>
      </c>
      <c r="L35" s="122">
        <f t="shared" si="6"/>
        <v>2002</v>
      </c>
      <c r="M35" s="88">
        <f>IF(M16="","",ROUND(M16/(1.163*($M$4-$M$3)),0))</f>
        <v>2150</v>
      </c>
      <c r="R35" s="149"/>
    </row>
    <row r="36" spans="2:22" s="150" customFormat="1" x14ac:dyDescent="0.25">
      <c r="B36" s="171"/>
      <c r="C36" s="169"/>
      <c r="D36" s="119" t="s">
        <v>170</v>
      </c>
      <c r="E36" s="120" t="str">
        <f>IF(E22="","",ROUND(E22/(1.163*($M$3-$M$4)),0))</f>
        <v/>
      </c>
      <c r="F36" s="121" t="str">
        <f t="shared" ref="F36:M36" si="7">IF(F22="","",ROUND(F22/(1.163*($M$3-$M$4)),0))</f>
        <v/>
      </c>
      <c r="G36" s="120" t="str">
        <f t="shared" si="7"/>
        <v/>
      </c>
      <c r="H36" s="122" t="str">
        <f t="shared" si="7"/>
        <v/>
      </c>
      <c r="I36" s="120" t="str">
        <f t="shared" si="7"/>
        <v/>
      </c>
      <c r="J36" s="122" t="str">
        <f t="shared" si="7"/>
        <v/>
      </c>
      <c r="K36" s="120" t="str">
        <f t="shared" si="7"/>
        <v/>
      </c>
      <c r="L36" s="122" t="str">
        <f t="shared" si="7"/>
        <v/>
      </c>
      <c r="M36" s="88" t="str">
        <f t="shared" si="7"/>
        <v/>
      </c>
      <c r="R36" s="149"/>
    </row>
    <row r="37" spans="2:22" s="150" customFormat="1" ht="17.399999999999999" customHeight="1" x14ac:dyDescent="0.25">
      <c r="B37" s="170" t="s">
        <v>168</v>
      </c>
      <c r="C37" s="167" t="s">
        <v>29</v>
      </c>
      <c r="D37" s="123" t="s">
        <v>169</v>
      </c>
      <c r="E37" s="120">
        <v>20</v>
      </c>
      <c r="F37" s="121">
        <v>20</v>
      </c>
      <c r="G37" s="120">
        <v>20</v>
      </c>
      <c r="H37" s="122">
        <v>30</v>
      </c>
      <c r="I37" s="120">
        <v>40</v>
      </c>
      <c r="J37" s="122">
        <v>40</v>
      </c>
      <c r="K37" s="120">
        <v>40</v>
      </c>
      <c r="L37" s="122">
        <v>40</v>
      </c>
      <c r="M37" s="88">
        <v>50</v>
      </c>
      <c r="R37" s="149"/>
    </row>
    <row r="38" spans="2:22" s="150" customFormat="1" ht="17.399999999999999" customHeight="1" x14ac:dyDescent="0.25">
      <c r="B38" s="171"/>
      <c r="C38" s="169"/>
      <c r="D38" s="123" t="s">
        <v>170</v>
      </c>
      <c r="E38" s="124">
        <v>0.77</v>
      </c>
      <c r="F38" s="125">
        <v>1.45</v>
      </c>
      <c r="G38" s="124">
        <v>2.54</v>
      </c>
      <c r="H38" s="126">
        <v>4.72</v>
      </c>
      <c r="I38" s="124">
        <v>1.56</v>
      </c>
      <c r="J38" s="126">
        <v>1.98</v>
      </c>
      <c r="K38" s="124">
        <v>3.38</v>
      </c>
      <c r="L38" s="122">
        <v>28.97</v>
      </c>
      <c r="M38" s="88">
        <v>13.51</v>
      </c>
      <c r="R38" s="149"/>
    </row>
    <row r="39" spans="2:22" s="150" customFormat="1" x14ac:dyDescent="0.25">
      <c r="B39" s="127" t="s">
        <v>171</v>
      </c>
      <c r="C39" s="99" t="s">
        <v>27</v>
      </c>
      <c r="D39" s="119"/>
      <c r="E39" s="163">
        <v>1.6</v>
      </c>
      <c r="F39" s="163"/>
      <c r="G39" s="163"/>
      <c r="H39" s="163"/>
      <c r="I39" s="163"/>
      <c r="J39" s="163"/>
      <c r="K39" s="163"/>
      <c r="L39" s="163"/>
      <c r="M39" s="163"/>
      <c r="R39" s="149"/>
    </row>
    <row r="40" spans="2:22" s="150" customFormat="1" x14ac:dyDescent="0.25">
      <c r="B40" s="184" t="s">
        <v>172</v>
      </c>
      <c r="C40" s="185"/>
      <c r="D40" s="186"/>
      <c r="E40" s="163" t="s">
        <v>26</v>
      </c>
      <c r="F40" s="163"/>
      <c r="G40" s="163"/>
      <c r="H40" s="163"/>
      <c r="I40" s="163"/>
      <c r="J40" s="163"/>
      <c r="K40" s="163"/>
      <c r="L40" s="163"/>
      <c r="M40" s="163"/>
      <c r="R40" s="149"/>
    </row>
    <row r="41" spans="2:22" s="150" customFormat="1" x14ac:dyDescent="0.25">
      <c r="B41" s="184" t="s">
        <v>173</v>
      </c>
      <c r="C41" s="185"/>
      <c r="D41" s="186"/>
      <c r="E41" s="163" t="s">
        <v>183</v>
      </c>
      <c r="F41" s="163"/>
      <c r="G41" s="163"/>
      <c r="H41" s="163"/>
      <c r="I41" s="163"/>
      <c r="J41" s="163"/>
      <c r="K41" s="163"/>
      <c r="L41" s="163"/>
      <c r="M41" s="163"/>
      <c r="R41" s="149"/>
    </row>
    <row r="42" spans="2:22" s="150" customFormat="1" ht="17.399999999999999" customHeight="1" x14ac:dyDescent="0.25">
      <c r="B42" s="184" t="s">
        <v>174</v>
      </c>
      <c r="C42" s="185"/>
      <c r="D42" s="186"/>
      <c r="E42" s="164" t="s">
        <v>195</v>
      </c>
      <c r="F42" s="164"/>
      <c r="G42" s="164"/>
      <c r="H42" s="164"/>
      <c r="I42" s="164"/>
      <c r="J42" s="164"/>
      <c r="K42" s="164"/>
      <c r="L42" s="164"/>
      <c r="M42" s="164"/>
      <c r="R42" s="149"/>
    </row>
    <row r="43" spans="2:22" s="150" customFormat="1" x14ac:dyDescent="0.25">
      <c r="B43" s="184" t="s">
        <v>175</v>
      </c>
      <c r="C43" s="185"/>
      <c r="D43" s="186"/>
      <c r="E43" s="172" t="s">
        <v>192</v>
      </c>
      <c r="F43" s="173"/>
      <c r="G43" s="173"/>
      <c r="H43" s="173"/>
      <c r="I43" s="173"/>
      <c r="J43" s="173"/>
      <c r="K43" s="173"/>
      <c r="L43" s="173"/>
      <c r="M43" s="174"/>
      <c r="R43" s="149"/>
    </row>
    <row r="44" spans="2:22" s="150" customFormat="1" x14ac:dyDescent="0.25">
      <c r="B44" s="184" t="s">
        <v>176</v>
      </c>
      <c r="C44" s="185"/>
      <c r="D44" s="186"/>
      <c r="E44" s="163" t="s">
        <v>186</v>
      </c>
      <c r="F44" s="163"/>
      <c r="G44" s="163"/>
      <c r="H44" s="163"/>
      <c r="I44" s="163"/>
      <c r="J44" s="163"/>
      <c r="K44" s="163"/>
      <c r="L44" s="163"/>
      <c r="M44" s="163"/>
      <c r="R44" s="149"/>
    </row>
    <row r="45" spans="2:22" s="150" customFormat="1" x14ac:dyDescent="0.25">
      <c r="B45" s="184" t="s">
        <v>177</v>
      </c>
      <c r="C45" s="185"/>
      <c r="D45" s="186"/>
      <c r="E45" s="163" t="s">
        <v>187</v>
      </c>
      <c r="F45" s="163"/>
      <c r="G45" s="163"/>
      <c r="H45" s="163"/>
      <c r="I45" s="163"/>
      <c r="J45" s="163"/>
      <c r="K45" s="163"/>
      <c r="L45" s="163"/>
      <c r="M45" s="163"/>
      <c r="R45" s="149"/>
    </row>
    <row r="46" spans="2:22" s="150" customFormat="1" x14ac:dyDescent="0.25">
      <c r="B46" s="184" t="s">
        <v>178</v>
      </c>
      <c r="C46" s="185"/>
      <c r="D46" s="186"/>
      <c r="E46" s="163" t="s">
        <v>188</v>
      </c>
      <c r="F46" s="163"/>
      <c r="G46" s="163"/>
      <c r="H46" s="163"/>
      <c r="I46" s="163"/>
      <c r="J46" s="163"/>
      <c r="K46" s="163"/>
      <c r="L46" s="163"/>
      <c r="M46" s="163"/>
      <c r="R46" s="149"/>
    </row>
    <row r="47" spans="2:22" s="150" customFormat="1" x14ac:dyDescent="0.25">
      <c r="B47" s="118" t="s">
        <v>179</v>
      </c>
      <c r="C47" s="99" t="s">
        <v>11</v>
      </c>
      <c r="D47" s="119"/>
      <c r="E47" s="129" t="s">
        <v>58</v>
      </c>
      <c r="F47" s="130" t="s">
        <v>57</v>
      </c>
      <c r="G47" s="129" t="s">
        <v>56</v>
      </c>
      <c r="H47" s="130" t="s">
        <v>55</v>
      </c>
      <c r="I47" s="129" t="s">
        <v>54</v>
      </c>
      <c r="J47" s="130" t="s">
        <v>53</v>
      </c>
      <c r="K47" s="129" t="s">
        <v>52</v>
      </c>
      <c r="L47" s="130" t="s">
        <v>51</v>
      </c>
      <c r="M47" s="129" t="s">
        <v>51</v>
      </c>
      <c r="R47" s="149"/>
    </row>
    <row r="48" spans="2:22" s="150" customFormat="1" x14ac:dyDescent="0.25">
      <c r="B48" s="118" t="s">
        <v>180</v>
      </c>
      <c r="C48" s="99" t="s">
        <v>11</v>
      </c>
      <c r="D48" s="119"/>
      <c r="E48" s="129" t="s">
        <v>50</v>
      </c>
      <c r="F48" s="130" t="s">
        <v>49</v>
      </c>
      <c r="G48" s="129" t="s">
        <v>48</v>
      </c>
      <c r="H48" s="130" t="s">
        <v>47</v>
      </c>
      <c r="I48" s="129" t="s">
        <v>46</v>
      </c>
      <c r="J48" s="130" t="s">
        <v>45</v>
      </c>
      <c r="K48" s="129" t="s">
        <v>44</v>
      </c>
      <c r="L48" s="130" t="s">
        <v>43</v>
      </c>
      <c r="M48" s="129" t="s">
        <v>43</v>
      </c>
      <c r="R48" s="149"/>
    </row>
    <row r="49" spans="2:22" s="150" customFormat="1" x14ac:dyDescent="0.25">
      <c r="B49" s="118" t="s">
        <v>182</v>
      </c>
      <c r="C49" s="99" t="s">
        <v>0</v>
      </c>
      <c r="D49" s="119"/>
      <c r="E49" s="131">
        <v>12.8</v>
      </c>
      <c r="F49" s="132">
        <v>14.1</v>
      </c>
      <c r="G49" s="131">
        <v>17</v>
      </c>
      <c r="H49" s="132">
        <v>18</v>
      </c>
      <c r="I49" s="131">
        <v>19.399999999999999</v>
      </c>
      <c r="J49" s="132">
        <v>26.7</v>
      </c>
      <c r="K49" s="131">
        <v>28.4</v>
      </c>
      <c r="L49" s="132">
        <v>33.200000000000003</v>
      </c>
      <c r="M49" s="131">
        <v>33.799999999999997</v>
      </c>
      <c r="R49" s="149"/>
    </row>
    <row r="50" spans="2:22" s="150" customFormat="1" x14ac:dyDescent="0.25">
      <c r="B50" s="118" t="s">
        <v>181</v>
      </c>
      <c r="C50" s="99" t="s">
        <v>0</v>
      </c>
      <c r="D50" s="119"/>
      <c r="E50" s="131">
        <v>14</v>
      </c>
      <c r="F50" s="132">
        <v>15.4</v>
      </c>
      <c r="G50" s="131">
        <v>18.5</v>
      </c>
      <c r="H50" s="132">
        <v>19.7</v>
      </c>
      <c r="I50" s="131">
        <v>21.2</v>
      </c>
      <c r="J50" s="132">
        <v>29</v>
      </c>
      <c r="K50" s="131">
        <v>30.8</v>
      </c>
      <c r="L50" s="132">
        <v>36.200000000000003</v>
      </c>
      <c r="M50" s="131">
        <v>36.799999999999997</v>
      </c>
      <c r="R50" s="149"/>
    </row>
    <row r="51" spans="2:22" s="94" customFormat="1" x14ac:dyDescent="0.25">
      <c r="E51" s="89"/>
      <c r="F51" s="89"/>
      <c r="G51" s="89"/>
      <c r="H51" s="89"/>
      <c r="I51" s="89"/>
      <c r="J51" s="89"/>
      <c r="K51" s="89"/>
      <c r="L51" s="89"/>
      <c r="M51" s="89"/>
      <c r="N51" s="150"/>
      <c r="O51" s="150"/>
      <c r="P51" s="150"/>
      <c r="Q51" s="150"/>
      <c r="R51" s="149"/>
      <c r="S51" s="150"/>
      <c r="T51" s="150"/>
      <c r="U51" s="150"/>
      <c r="V51" s="150"/>
    </row>
    <row r="52" spans="2:22" ht="17.399999999999999" customHeight="1" thickBot="1" x14ac:dyDescent="0.3">
      <c r="B52" s="94"/>
      <c r="C52" s="94"/>
      <c r="D52" s="94"/>
      <c r="E52" s="89"/>
      <c r="F52" s="89"/>
      <c r="G52" s="89"/>
      <c r="H52" s="89"/>
      <c r="I52" s="89"/>
      <c r="J52" s="89"/>
      <c r="K52" s="89"/>
      <c r="L52" s="89"/>
      <c r="M52" s="89"/>
    </row>
    <row r="53" spans="2:22" ht="17.399999999999999" customHeight="1" thickBot="1" x14ac:dyDescent="0.3">
      <c r="B53" s="94"/>
      <c r="C53" s="133"/>
      <c r="D53" s="133"/>
      <c r="E53" s="134"/>
      <c r="F53" s="89"/>
      <c r="G53" s="187" t="s">
        <v>194</v>
      </c>
      <c r="H53" s="188"/>
      <c r="I53" s="187" t="s">
        <v>191</v>
      </c>
      <c r="J53" s="188"/>
      <c r="K53" s="134"/>
      <c r="L53" s="134"/>
      <c r="M53" s="134"/>
    </row>
    <row r="54" spans="2:22" ht="17.399999999999999" customHeight="1" x14ac:dyDescent="0.25">
      <c r="B54" s="94"/>
      <c r="C54" s="95"/>
      <c r="D54" s="95"/>
      <c r="E54" s="89"/>
      <c r="F54" s="89"/>
      <c r="G54" s="89"/>
      <c r="H54" s="89"/>
      <c r="I54" s="89"/>
      <c r="J54" s="89"/>
      <c r="K54" s="89"/>
      <c r="L54" s="89"/>
      <c r="M54" s="89"/>
    </row>
    <row r="55" spans="2:22" s="70" customFormat="1" ht="34.950000000000003" customHeight="1" x14ac:dyDescent="0.25">
      <c r="B55" s="181" t="s">
        <v>155</v>
      </c>
      <c r="C55" s="182"/>
      <c r="D55" s="183"/>
      <c r="E55" s="96" t="s">
        <v>136</v>
      </c>
      <c r="F55" s="97" t="s">
        <v>137</v>
      </c>
      <c r="G55" s="96" t="s">
        <v>138</v>
      </c>
      <c r="H55" s="97" t="s">
        <v>139</v>
      </c>
      <c r="I55" s="96" t="s">
        <v>140</v>
      </c>
      <c r="J55" s="97" t="s">
        <v>141</v>
      </c>
      <c r="K55" s="96" t="s">
        <v>142</v>
      </c>
      <c r="L55" s="97" t="s">
        <v>143</v>
      </c>
      <c r="M55" s="96" t="s">
        <v>144</v>
      </c>
      <c r="N55" s="60"/>
      <c r="O55" s="60"/>
      <c r="P55" s="60"/>
      <c r="Q55" s="60"/>
      <c r="R55" s="61"/>
      <c r="S55" s="60"/>
      <c r="T55" s="60"/>
      <c r="U55" s="60"/>
      <c r="V55" s="60"/>
    </row>
    <row r="56" spans="2:22" x14ac:dyDescent="0.25">
      <c r="B56" s="165" t="s">
        <v>159</v>
      </c>
      <c r="C56" s="167" t="s">
        <v>39</v>
      </c>
      <c r="D56" s="99" t="s">
        <v>156</v>
      </c>
      <c r="E56" s="88">
        <v>340</v>
      </c>
      <c r="F56" s="100">
        <v>510</v>
      </c>
      <c r="G56" s="88">
        <v>680</v>
      </c>
      <c r="H56" s="100">
        <v>850</v>
      </c>
      <c r="I56" s="88">
        <v>1020</v>
      </c>
      <c r="J56" s="100">
        <v>1360</v>
      </c>
      <c r="K56" s="88">
        <v>1700</v>
      </c>
      <c r="L56" s="100">
        <v>2040</v>
      </c>
      <c r="M56" s="88">
        <v>2380</v>
      </c>
    </row>
    <row r="57" spans="2:22" x14ac:dyDescent="0.25">
      <c r="B57" s="165"/>
      <c r="C57" s="168"/>
      <c r="D57" s="99" t="s">
        <v>157</v>
      </c>
      <c r="E57" s="88">
        <v>255</v>
      </c>
      <c r="F57" s="100">
        <v>382</v>
      </c>
      <c r="G57" s="88">
        <v>510</v>
      </c>
      <c r="H57" s="100">
        <v>637</v>
      </c>
      <c r="I57" s="88">
        <v>765</v>
      </c>
      <c r="J57" s="100">
        <v>1122</v>
      </c>
      <c r="K57" s="88">
        <v>1402</v>
      </c>
      <c r="L57" s="100">
        <v>1683</v>
      </c>
      <c r="M57" s="88">
        <v>1927</v>
      </c>
    </row>
    <row r="58" spans="2:22" ht="18" thickBot="1" x14ac:dyDescent="0.3">
      <c r="B58" s="170"/>
      <c r="C58" s="168"/>
      <c r="D58" s="98" t="s">
        <v>158</v>
      </c>
      <c r="E58" s="101">
        <v>170</v>
      </c>
      <c r="F58" s="102">
        <v>255</v>
      </c>
      <c r="G58" s="101">
        <v>340</v>
      </c>
      <c r="H58" s="102">
        <v>425</v>
      </c>
      <c r="I58" s="101">
        <v>510</v>
      </c>
      <c r="J58" s="102">
        <v>850</v>
      </c>
      <c r="K58" s="101">
        <v>1062</v>
      </c>
      <c r="L58" s="102">
        <v>1275</v>
      </c>
      <c r="M58" s="101">
        <v>1487</v>
      </c>
    </row>
    <row r="59" spans="2:22" ht="17.399999999999999" customHeight="1" x14ac:dyDescent="0.25">
      <c r="B59" s="176" t="s">
        <v>160</v>
      </c>
      <c r="C59" s="179" t="s">
        <v>38</v>
      </c>
      <c r="D59" s="103" t="s">
        <v>156</v>
      </c>
      <c r="E59" s="104">
        <f>IF($V$2&gt;0,"",IF($V$3&gt;13.5,258.86*$V$3-2625.6,E62))</f>
        <v>1904.4500000000003</v>
      </c>
      <c r="F59" s="105">
        <f>IF($V$2&gt;0,"",IF($V$3&gt;13.5,355.69*$V$3-3487.2,F62))</f>
        <v>2737.375</v>
      </c>
      <c r="G59" s="104">
        <f>IF($V$2&gt;0,"",IF($V$3&gt;13.5,489.93*$V$3-4917.8,G62))</f>
        <v>3655.9749999999995</v>
      </c>
      <c r="H59" s="105">
        <f>IF($V$2&gt;0,"",IF($V$3&gt;13.5,589.11*$V$3-5795.6,H62))</f>
        <v>4513.8250000000007</v>
      </c>
      <c r="I59" s="104">
        <f>IF($V$2&gt;0,"",IF($V$3&gt;13.5,680.57*$V$3-6527.2,I62))</f>
        <v>5382.7750000000005</v>
      </c>
      <c r="J59" s="105">
        <f>IF($V$2&gt;0,"",IF($V$3&gt;13.5,850.11*$V$3-8295.7,J62))</f>
        <v>6581.2250000000004</v>
      </c>
      <c r="K59" s="104">
        <f>IF($V$2&gt;0,"",IF($V$3&gt;13.5,1004.2*$V$3-9995.6,K62))</f>
        <v>7577.9</v>
      </c>
      <c r="L59" s="105">
        <f>IF($V$2&gt;0,"",IF($V$3&gt;13.5,1224.5*$V$3-12124,L62))</f>
        <v>9304.75</v>
      </c>
      <c r="M59" s="106">
        <f>IF($V$2&gt;0,"",IF($V$3&gt;13.5,1311.6*$V$3-12912,M62))</f>
        <v>10041</v>
      </c>
    </row>
    <row r="60" spans="2:22" x14ac:dyDescent="0.25">
      <c r="B60" s="177"/>
      <c r="C60" s="168"/>
      <c r="D60" s="99" t="s">
        <v>157</v>
      </c>
      <c r="E60" s="107">
        <f>IFERROR(ROUND(E59*0.86,0),"")</f>
        <v>1638</v>
      </c>
      <c r="F60" s="108">
        <f t="shared" ref="F60:M60" si="8">IFERROR(ROUND(F59*0.86,0),"")</f>
        <v>2354</v>
      </c>
      <c r="G60" s="107">
        <f t="shared" si="8"/>
        <v>3144</v>
      </c>
      <c r="H60" s="108">
        <f t="shared" si="8"/>
        <v>3882</v>
      </c>
      <c r="I60" s="107">
        <f t="shared" si="8"/>
        <v>4629</v>
      </c>
      <c r="J60" s="108">
        <f t="shared" si="8"/>
        <v>5660</v>
      </c>
      <c r="K60" s="107">
        <f t="shared" si="8"/>
        <v>6517</v>
      </c>
      <c r="L60" s="108">
        <f t="shared" si="8"/>
        <v>8002</v>
      </c>
      <c r="M60" s="109">
        <f t="shared" si="8"/>
        <v>8635</v>
      </c>
    </row>
    <row r="61" spans="2:22" ht="18" thickBot="1" x14ac:dyDescent="0.3">
      <c r="B61" s="178"/>
      <c r="C61" s="180"/>
      <c r="D61" s="110" t="s">
        <v>158</v>
      </c>
      <c r="E61" s="111">
        <f>IFERROR(ROUND(E59*0.63,0),"")</f>
        <v>1200</v>
      </c>
      <c r="F61" s="112">
        <f t="shared" ref="F61:M61" si="9">IFERROR(ROUND(F59*0.63,0),"")</f>
        <v>1725</v>
      </c>
      <c r="G61" s="111">
        <f t="shared" si="9"/>
        <v>2303</v>
      </c>
      <c r="H61" s="112">
        <f t="shared" si="9"/>
        <v>2844</v>
      </c>
      <c r="I61" s="111">
        <f t="shared" si="9"/>
        <v>3391</v>
      </c>
      <c r="J61" s="112">
        <f t="shared" si="9"/>
        <v>4146</v>
      </c>
      <c r="K61" s="111">
        <f t="shared" si="9"/>
        <v>4774</v>
      </c>
      <c r="L61" s="112">
        <f t="shared" si="9"/>
        <v>5862</v>
      </c>
      <c r="M61" s="113">
        <f t="shared" si="9"/>
        <v>6326</v>
      </c>
    </row>
    <row r="62" spans="2:22" ht="17.399999999999999" customHeight="1" x14ac:dyDescent="0.25">
      <c r="B62" s="176" t="s">
        <v>161</v>
      </c>
      <c r="C62" s="179" t="s">
        <v>38</v>
      </c>
      <c r="D62" s="103" t="s">
        <v>156</v>
      </c>
      <c r="E62" s="104">
        <f>IF($V$2&lt;0,95.039*$V$3-251.73,"")</f>
        <v>1411.4525000000001</v>
      </c>
      <c r="F62" s="105">
        <f>IF($V$2&lt;0,135.92*$V$3-367.63,"")</f>
        <v>2010.9699999999998</v>
      </c>
      <c r="G62" s="104">
        <f>IF($V$2&lt;0,184.26*$V$3-512.22,"")</f>
        <v>2712.33</v>
      </c>
      <c r="H62" s="105">
        <f>IF($V$2&lt;0,224.71*$V$3-606.64,"")</f>
        <v>3325.7850000000003</v>
      </c>
      <c r="I62" s="104">
        <f>IF($V$2&lt;0,260.21*$V$3-632.41,"")</f>
        <v>3921.2649999999994</v>
      </c>
      <c r="J62" s="105">
        <f>IF($V$2&lt;0,325.68*$V$3-857.28,"")</f>
        <v>4842.1200000000008</v>
      </c>
      <c r="K62" s="104">
        <f>IF($V$2&lt;0,386.74*$V$3-1109.7,"")</f>
        <v>5658.25</v>
      </c>
      <c r="L62" s="105">
        <f>IF($V$2&lt;0,471.21*$V$3-1321,"")</f>
        <v>6925.1749999999993</v>
      </c>
      <c r="M62" s="106">
        <f>IF($V$2&lt;0,506.09*$V$3-1385.8,"")</f>
        <v>7470.7749999999987</v>
      </c>
    </row>
    <row r="63" spans="2:22" x14ac:dyDescent="0.25">
      <c r="B63" s="177"/>
      <c r="C63" s="168"/>
      <c r="D63" s="99" t="s">
        <v>157</v>
      </c>
      <c r="E63" s="107">
        <f>IFERROR(ROUND(E62*0.86,0),"")</f>
        <v>1214</v>
      </c>
      <c r="F63" s="108">
        <f t="shared" ref="F63:M63" si="10">IFERROR(ROUND(F62*0.86,0),"")</f>
        <v>1729</v>
      </c>
      <c r="G63" s="107">
        <f t="shared" si="10"/>
        <v>2333</v>
      </c>
      <c r="H63" s="108">
        <f t="shared" si="10"/>
        <v>2860</v>
      </c>
      <c r="I63" s="107">
        <f t="shared" si="10"/>
        <v>3372</v>
      </c>
      <c r="J63" s="108">
        <f t="shared" si="10"/>
        <v>4164</v>
      </c>
      <c r="K63" s="107">
        <f t="shared" si="10"/>
        <v>4866</v>
      </c>
      <c r="L63" s="108">
        <f t="shared" si="10"/>
        <v>5956</v>
      </c>
      <c r="M63" s="109">
        <f t="shared" si="10"/>
        <v>6425</v>
      </c>
    </row>
    <row r="64" spans="2:22" ht="18" thickBot="1" x14ac:dyDescent="0.3">
      <c r="B64" s="178"/>
      <c r="C64" s="180"/>
      <c r="D64" s="110" t="s">
        <v>158</v>
      </c>
      <c r="E64" s="111">
        <f>IFERROR(ROUND(E62*0.63,0),"")</f>
        <v>889</v>
      </c>
      <c r="F64" s="112">
        <f t="shared" ref="F64:M64" si="11">IFERROR(ROUND(F62*0.63,0),"")</f>
        <v>1267</v>
      </c>
      <c r="G64" s="111">
        <f t="shared" si="11"/>
        <v>1709</v>
      </c>
      <c r="H64" s="112">
        <f t="shared" si="11"/>
        <v>2095</v>
      </c>
      <c r="I64" s="111">
        <f t="shared" si="11"/>
        <v>2470</v>
      </c>
      <c r="J64" s="112">
        <f t="shared" si="11"/>
        <v>3051</v>
      </c>
      <c r="K64" s="111">
        <f t="shared" si="11"/>
        <v>3565</v>
      </c>
      <c r="L64" s="112">
        <f t="shared" si="11"/>
        <v>4363</v>
      </c>
      <c r="M64" s="113">
        <f t="shared" si="11"/>
        <v>4707</v>
      </c>
    </row>
    <row r="65" spans="2:22" ht="17.399999999999999" customHeight="1" x14ac:dyDescent="0.25">
      <c r="B65" s="176" t="s">
        <v>162</v>
      </c>
      <c r="C65" s="179" t="s">
        <v>38</v>
      </c>
      <c r="D65" s="103" t="s">
        <v>156</v>
      </c>
      <c r="E65" s="104" t="str">
        <f>IF($V$2&gt;0,99*$V$3-580,"")</f>
        <v/>
      </c>
      <c r="F65" s="105" t="str">
        <f>IF($V$2&gt;0,142*$V$3-760,"")</f>
        <v/>
      </c>
      <c r="G65" s="104" t="str">
        <f>IF($V$2&gt;0,191*$V$3-1070,"")</f>
        <v/>
      </c>
      <c r="H65" s="105" t="str">
        <f>IF($V$2&gt;0,234*$V$3-1260,"")</f>
        <v/>
      </c>
      <c r="I65" s="104" t="str">
        <f>IF($V$2&gt;0,277.5*$V$3-1400,"")</f>
        <v/>
      </c>
      <c r="J65" s="105" t="str">
        <f>IF($V$2&gt;0,333.5*$V$3-1780,"")</f>
        <v/>
      </c>
      <c r="K65" s="104" t="str">
        <f>IF($V$2&gt;0,395.5*$V$3-2250,"")</f>
        <v/>
      </c>
      <c r="L65" s="105" t="str">
        <f>IF($V$2&gt;0,479.5*$V$3-2700,"")</f>
        <v/>
      </c>
      <c r="M65" s="106" t="str">
        <f>IF($V$2&gt;0,514.5*$V$3-2860,"")</f>
        <v/>
      </c>
    </row>
    <row r="66" spans="2:22" x14ac:dyDescent="0.25">
      <c r="B66" s="177"/>
      <c r="C66" s="168"/>
      <c r="D66" s="99" t="s">
        <v>157</v>
      </c>
      <c r="E66" s="107" t="str">
        <f t="shared" ref="E66:M66" si="12">IFERROR(ROUND(E65*0.83,0),"")</f>
        <v/>
      </c>
      <c r="F66" s="108" t="str">
        <f t="shared" si="12"/>
        <v/>
      </c>
      <c r="G66" s="107" t="str">
        <f t="shared" si="12"/>
        <v/>
      </c>
      <c r="H66" s="108" t="str">
        <f t="shared" si="12"/>
        <v/>
      </c>
      <c r="I66" s="107" t="str">
        <f t="shared" si="12"/>
        <v/>
      </c>
      <c r="J66" s="108" t="str">
        <f t="shared" si="12"/>
        <v/>
      </c>
      <c r="K66" s="107" t="str">
        <f t="shared" si="12"/>
        <v/>
      </c>
      <c r="L66" s="108" t="str">
        <f t="shared" si="12"/>
        <v/>
      </c>
      <c r="M66" s="109" t="str">
        <f t="shared" si="12"/>
        <v/>
      </c>
    </row>
    <row r="67" spans="2:22" ht="18" thickBot="1" x14ac:dyDescent="0.3">
      <c r="B67" s="178"/>
      <c r="C67" s="180"/>
      <c r="D67" s="110" t="s">
        <v>158</v>
      </c>
      <c r="E67" s="111" t="str">
        <f t="shared" ref="E67:M67" si="13">IFERROR(ROUND(E65*0.73,0),"")</f>
        <v/>
      </c>
      <c r="F67" s="112" t="str">
        <f t="shared" si="13"/>
        <v/>
      </c>
      <c r="G67" s="111" t="str">
        <f t="shared" si="13"/>
        <v/>
      </c>
      <c r="H67" s="112" t="str">
        <f t="shared" si="13"/>
        <v/>
      </c>
      <c r="I67" s="111" t="str">
        <f t="shared" si="13"/>
        <v/>
      </c>
      <c r="J67" s="112" t="str">
        <f t="shared" si="13"/>
        <v/>
      </c>
      <c r="K67" s="111" t="str">
        <f t="shared" si="13"/>
        <v/>
      </c>
      <c r="L67" s="112" t="str">
        <f t="shared" si="13"/>
        <v/>
      </c>
      <c r="M67" s="113" t="str">
        <f t="shared" si="13"/>
        <v/>
      </c>
    </row>
    <row r="68" spans="2:22" x14ac:dyDescent="0.25">
      <c r="B68" s="114" t="s">
        <v>163</v>
      </c>
      <c r="C68" s="115"/>
      <c r="D68" s="135"/>
      <c r="E68" s="159" t="s">
        <v>196</v>
      </c>
      <c r="F68" s="159"/>
      <c r="G68" s="159"/>
      <c r="H68" s="159"/>
      <c r="I68" s="159"/>
      <c r="J68" s="159"/>
      <c r="K68" s="159"/>
      <c r="L68" s="159"/>
      <c r="M68" s="159"/>
    </row>
    <row r="69" spans="2:22" x14ac:dyDescent="0.25">
      <c r="B69" s="165" t="s">
        <v>164</v>
      </c>
      <c r="C69" s="167" t="s">
        <v>36</v>
      </c>
      <c r="D69" s="99" t="s">
        <v>33</v>
      </c>
      <c r="E69" s="88">
        <v>17</v>
      </c>
      <c r="F69" s="100">
        <v>20</v>
      </c>
      <c r="G69" s="88">
        <v>36</v>
      </c>
      <c r="H69" s="100">
        <v>44</v>
      </c>
      <c r="I69" s="88">
        <v>56</v>
      </c>
      <c r="J69" s="100">
        <v>78</v>
      </c>
      <c r="K69" s="88">
        <v>88</v>
      </c>
      <c r="L69" s="100">
        <v>114</v>
      </c>
      <c r="M69" s="88">
        <v>139</v>
      </c>
    </row>
    <row r="70" spans="2:22" x14ac:dyDescent="0.25">
      <c r="B70" s="165"/>
      <c r="C70" s="168"/>
      <c r="D70" s="99" t="s">
        <v>32</v>
      </c>
      <c r="E70" s="88">
        <v>26</v>
      </c>
      <c r="F70" s="100">
        <v>34</v>
      </c>
      <c r="G70" s="88">
        <v>42</v>
      </c>
      <c r="H70" s="100">
        <v>51</v>
      </c>
      <c r="I70" s="88">
        <v>63</v>
      </c>
      <c r="J70" s="100">
        <v>91</v>
      </c>
      <c r="K70" s="88">
        <v>101</v>
      </c>
      <c r="L70" s="100">
        <v>140</v>
      </c>
      <c r="M70" s="88">
        <v>166</v>
      </c>
    </row>
    <row r="71" spans="2:22" x14ac:dyDescent="0.25">
      <c r="B71" s="165"/>
      <c r="C71" s="169"/>
      <c r="D71" s="99" t="s">
        <v>31</v>
      </c>
      <c r="E71" s="88">
        <v>29</v>
      </c>
      <c r="F71" s="100">
        <v>38</v>
      </c>
      <c r="G71" s="88">
        <v>49</v>
      </c>
      <c r="H71" s="100">
        <v>56</v>
      </c>
      <c r="I71" s="88">
        <v>80</v>
      </c>
      <c r="J71" s="100">
        <v>101</v>
      </c>
      <c r="K71" s="88">
        <v>125</v>
      </c>
      <c r="L71" s="100">
        <v>173</v>
      </c>
      <c r="M71" s="88">
        <v>208</v>
      </c>
    </row>
    <row r="72" spans="2:22" x14ac:dyDescent="0.25">
      <c r="B72" s="170" t="s">
        <v>165</v>
      </c>
      <c r="C72" s="167" t="s">
        <v>35</v>
      </c>
      <c r="D72" s="99" t="s">
        <v>33</v>
      </c>
      <c r="E72" s="116">
        <f t="shared" ref="E72:M72" si="14">E69/230</f>
        <v>7.3913043478260873E-2</v>
      </c>
      <c r="F72" s="117">
        <f t="shared" si="14"/>
        <v>8.6956521739130432E-2</v>
      </c>
      <c r="G72" s="116">
        <f t="shared" si="14"/>
        <v>0.15652173913043479</v>
      </c>
      <c r="H72" s="117">
        <f t="shared" si="14"/>
        <v>0.19130434782608696</v>
      </c>
      <c r="I72" s="116">
        <f t="shared" si="14"/>
        <v>0.24347826086956523</v>
      </c>
      <c r="J72" s="117">
        <f t="shared" si="14"/>
        <v>0.33913043478260868</v>
      </c>
      <c r="K72" s="116">
        <f t="shared" si="14"/>
        <v>0.38260869565217392</v>
      </c>
      <c r="L72" s="117">
        <f t="shared" si="14"/>
        <v>0.4956521739130435</v>
      </c>
      <c r="M72" s="116">
        <f t="shared" si="14"/>
        <v>0.60434782608695647</v>
      </c>
    </row>
    <row r="73" spans="2:22" x14ac:dyDescent="0.25">
      <c r="B73" s="175"/>
      <c r="C73" s="168"/>
      <c r="D73" s="99" t="s">
        <v>32</v>
      </c>
      <c r="E73" s="116">
        <f t="shared" ref="E73:M73" si="15">E70/230</f>
        <v>0.11304347826086956</v>
      </c>
      <c r="F73" s="117">
        <f t="shared" si="15"/>
        <v>0.14782608695652175</v>
      </c>
      <c r="G73" s="116">
        <f t="shared" si="15"/>
        <v>0.18260869565217391</v>
      </c>
      <c r="H73" s="117">
        <f t="shared" si="15"/>
        <v>0.22173913043478261</v>
      </c>
      <c r="I73" s="116">
        <f t="shared" si="15"/>
        <v>0.27391304347826084</v>
      </c>
      <c r="J73" s="117">
        <f t="shared" si="15"/>
        <v>0.39565217391304347</v>
      </c>
      <c r="K73" s="116">
        <f t="shared" si="15"/>
        <v>0.43913043478260871</v>
      </c>
      <c r="L73" s="117">
        <f t="shared" si="15"/>
        <v>0.60869565217391308</v>
      </c>
      <c r="M73" s="116">
        <f t="shared" si="15"/>
        <v>0.72173913043478266</v>
      </c>
    </row>
    <row r="74" spans="2:22" x14ac:dyDescent="0.25">
      <c r="B74" s="171"/>
      <c r="C74" s="169"/>
      <c r="D74" s="99" t="s">
        <v>31</v>
      </c>
      <c r="E74" s="116">
        <f t="shared" ref="E74:M74" si="16">E71/230</f>
        <v>0.12608695652173912</v>
      </c>
      <c r="F74" s="117">
        <f t="shared" si="16"/>
        <v>0.16521739130434782</v>
      </c>
      <c r="G74" s="116">
        <f t="shared" si="16"/>
        <v>0.21304347826086956</v>
      </c>
      <c r="H74" s="117">
        <f t="shared" si="16"/>
        <v>0.24347826086956523</v>
      </c>
      <c r="I74" s="116">
        <f t="shared" si="16"/>
        <v>0.34782608695652173</v>
      </c>
      <c r="J74" s="117">
        <f t="shared" si="16"/>
        <v>0.43913043478260871</v>
      </c>
      <c r="K74" s="116">
        <f t="shared" si="16"/>
        <v>0.54347826086956519</v>
      </c>
      <c r="L74" s="117">
        <f t="shared" si="16"/>
        <v>0.75217391304347825</v>
      </c>
      <c r="M74" s="116">
        <f t="shared" si="16"/>
        <v>0.90434782608695652</v>
      </c>
    </row>
    <row r="75" spans="2:22" x14ac:dyDescent="0.25">
      <c r="B75" s="165" t="s">
        <v>166</v>
      </c>
      <c r="C75" s="167" t="s">
        <v>34</v>
      </c>
      <c r="D75" s="99" t="s">
        <v>33</v>
      </c>
      <c r="E75" s="88">
        <v>35</v>
      </c>
      <c r="F75" s="100">
        <v>37</v>
      </c>
      <c r="G75" s="88">
        <v>39</v>
      </c>
      <c r="H75" s="100">
        <v>41</v>
      </c>
      <c r="I75" s="88">
        <v>43</v>
      </c>
      <c r="J75" s="100">
        <v>44</v>
      </c>
      <c r="K75" s="88">
        <v>46</v>
      </c>
      <c r="L75" s="100">
        <v>48</v>
      </c>
      <c r="M75" s="88">
        <v>50</v>
      </c>
    </row>
    <row r="76" spans="2:22" x14ac:dyDescent="0.25">
      <c r="B76" s="166"/>
      <c r="C76" s="168"/>
      <c r="D76" s="99" t="s">
        <v>32</v>
      </c>
      <c r="E76" s="88">
        <v>38</v>
      </c>
      <c r="F76" s="100">
        <v>40</v>
      </c>
      <c r="G76" s="88">
        <v>42</v>
      </c>
      <c r="H76" s="100">
        <v>44</v>
      </c>
      <c r="I76" s="88">
        <v>45</v>
      </c>
      <c r="J76" s="100">
        <v>46</v>
      </c>
      <c r="K76" s="88">
        <v>48</v>
      </c>
      <c r="L76" s="100">
        <v>50</v>
      </c>
      <c r="M76" s="88">
        <v>52</v>
      </c>
    </row>
    <row r="77" spans="2:22" x14ac:dyDescent="0.25">
      <c r="B77" s="166"/>
      <c r="C77" s="169"/>
      <c r="D77" s="99" t="s">
        <v>31</v>
      </c>
      <c r="E77" s="88">
        <v>40</v>
      </c>
      <c r="F77" s="100">
        <v>42</v>
      </c>
      <c r="G77" s="88">
        <v>44</v>
      </c>
      <c r="H77" s="100">
        <v>45</v>
      </c>
      <c r="I77" s="88">
        <v>47</v>
      </c>
      <c r="J77" s="100">
        <v>48</v>
      </c>
      <c r="K77" s="88">
        <v>50</v>
      </c>
      <c r="L77" s="100">
        <v>52</v>
      </c>
      <c r="M77" s="88">
        <v>54</v>
      </c>
    </row>
    <row r="78" spans="2:22" s="64" customFormat="1" x14ac:dyDescent="0.25">
      <c r="B78" s="170" t="s">
        <v>167</v>
      </c>
      <c r="C78" s="167" t="s">
        <v>30</v>
      </c>
      <c r="D78" s="119" t="s">
        <v>169</v>
      </c>
      <c r="E78" s="120">
        <f>IF(E59="","",ROUND(E59/(1.163*($M$4-$M$3)),0))</f>
        <v>328</v>
      </c>
      <c r="F78" s="121">
        <f t="shared" ref="F78:M78" si="17">IF(F59="","",ROUND(F59/(1.163*($M$4-$M$3)),0))</f>
        <v>471</v>
      </c>
      <c r="G78" s="120">
        <f t="shared" si="17"/>
        <v>629</v>
      </c>
      <c r="H78" s="122">
        <f t="shared" si="17"/>
        <v>776</v>
      </c>
      <c r="I78" s="120">
        <f t="shared" si="17"/>
        <v>926</v>
      </c>
      <c r="J78" s="122">
        <f t="shared" si="17"/>
        <v>1132</v>
      </c>
      <c r="K78" s="120">
        <f t="shared" si="17"/>
        <v>1303</v>
      </c>
      <c r="L78" s="122">
        <f t="shared" si="17"/>
        <v>1600</v>
      </c>
      <c r="M78" s="88">
        <f t="shared" si="17"/>
        <v>1727</v>
      </c>
      <c r="N78" s="60"/>
      <c r="O78" s="60"/>
      <c r="P78" s="60"/>
      <c r="Q78" s="60"/>
      <c r="R78" s="61"/>
      <c r="S78" s="60"/>
      <c r="T78" s="60"/>
      <c r="U78" s="60"/>
      <c r="V78" s="60"/>
    </row>
    <row r="79" spans="2:22" s="64" customFormat="1" x14ac:dyDescent="0.25">
      <c r="B79" s="171"/>
      <c r="C79" s="169"/>
      <c r="D79" s="119" t="s">
        <v>170</v>
      </c>
      <c r="E79" s="120" t="str">
        <f>IF(E65="","",ROUND(E65/(1.163*($M$3-$M$4)),0))</f>
        <v/>
      </c>
      <c r="F79" s="121" t="str">
        <f t="shared" ref="F79:M79" si="18">IF(F65="","",ROUND(F65/(1.163*($M$3-$M$4)),0))</f>
        <v/>
      </c>
      <c r="G79" s="120" t="str">
        <f t="shared" si="18"/>
        <v/>
      </c>
      <c r="H79" s="122" t="str">
        <f t="shared" si="18"/>
        <v/>
      </c>
      <c r="I79" s="120" t="str">
        <f t="shared" si="18"/>
        <v/>
      </c>
      <c r="J79" s="122" t="str">
        <f t="shared" si="18"/>
        <v/>
      </c>
      <c r="K79" s="120" t="str">
        <f t="shared" si="18"/>
        <v/>
      </c>
      <c r="L79" s="122" t="str">
        <f t="shared" si="18"/>
        <v/>
      </c>
      <c r="M79" s="88" t="str">
        <f t="shared" si="18"/>
        <v/>
      </c>
      <c r="N79" s="60"/>
      <c r="O79" s="60"/>
      <c r="P79" s="60"/>
      <c r="Q79" s="60"/>
      <c r="R79" s="61"/>
      <c r="S79" s="60"/>
      <c r="T79" s="60"/>
      <c r="U79" s="60"/>
      <c r="V79" s="60"/>
    </row>
    <row r="80" spans="2:22" s="64" customFormat="1" ht="17.399999999999999" customHeight="1" x14ac:dyDescent="0.25">
      <c r="B80" s="170" t="s">
        <v>168</v>
      </c>
      <c r="C80" s="167" t="s">
        <v>29</v>
      </c>
      <c r="D80" s="123" t="s">
        <v>169</v>
      </c>
      <c r="E80" s="120">
        <v>20</v>
      </c>
      <c r="F80" s="121">
        <v>20</v>
      </c>
      <c r="G80" s="120">
        <v>20</v>
      </c>
      <c r="H80" s="122">
        <v>30</v>
      </c>
      <c r="I80" s="120">
        <v>40</v>
      </c>
      <c r="J80" s="122">
        <v>40</v>
      </c>
      <c r="K80" s="120">
        <v>40</v>
      </c>
      <c r="L80" s="122">
        <v>40</v>
      </c>
      <c r="M80" s="88">
        <v>50</v>
      </c>
      <c r="N80" s="60"/>
      <c r="O80" s="60"/>
      <c r="P80" s="60"/>
      <c r="Q80" s="60"/>
      <c r="R80" s="61"/>
      <c r="S80" s="60"/>
      <c r="T80" s="60"/>
      <c r="U80" s="60"/>
      <c r="V80" s="60"/>
    </row>
    <row r="81" spans="2:22" s="64" customFormat="1" ht="17.399999999999999" customHeight="1" x14ac:dyDescent="0.25">
      <c r="B81" s="171"/>
      <c r="C81" s="169"/>
      <c r="D81" s="123" t="s">
        <v>170</v>
      </c>
      <c r="E81" s="120">
        <v>6.71</v>
      </c>
      <c r="F81" s="121">
        <v>15.33</v>
      </c>
      <c r="G81" s="120">
        <v>9.68</v>
      </c>
      <c r="H81" s="122">
        <v>13.95</v>
      </c>
      <c r="I81" s="120">
        <v>24.91</v>
      </c>
      <c r="J81" s="122">
        <v>20.18</v>
      </c>
      <c r="K81" s="120">
        <v>15.78</v>
      </c>
      <c r="L81" s="122">
        <v>16.29</v>
      </c>
      <c r="M81" s="88">
        <v>20.34</v>
      </c>
      <c r="N81" s="60"/>
      <c r="O81" s="60"/>
      <c r="P81" s="60"/>
      <c r="Q81" s="60"/>
      <c r="R81" s="61"/>
      <c r="S81" s="60"/>
      <c r="T81" s="60"/>
      <c r="U81" s="60"/>
      <c r="V81" s="60"/>
    </row>
    <row r="82" spans="2:22" s="64" customFormat="1" x14ac:dyDescent="0.25">
      <c r="B82" s="136" t="s">
        <v>171</v>
      </c>
      <c r="C82" s="128" t="s">
        <v>27</v>
      </c>
      <c r="D82" s="137"/>
      <c r="E82" s="163">
        <v>1.6</v>
      </c>
      <c r="F82" s="163"/>
      <c r="G82" s="163"/>
      <c r="H82" s="163"/>
      <c r="I82" s="163"/>
      <c r="J82" s="163"/>
      <c r="K82" s="163"/>
      <c r="L82" s="163"/>
      <c r="M82" s="163"/>
      <c r="N82" s="60"/>
      <c r="O82" s="60"/>
      <c r="P82" s="60"/>
      <c r="Q82" s="60"/>
      <c r="R82" s="61"/>
      <c r="S82" s="60"/>
      <c r="T82" s="60"/>
      <c r="U82" s="60"/>
      <c r="V82" s="60"/>
    </row>
    <row r="83" spans="2:22" s="64" customFormat="1" x14ac:dyDescent="0.25">
      <c r="B83" s="160" t="s">
        <v>172</v>
      </c>
      <c r="C83" s="161"/>
      <c r="D83" s="162"/>
      <c r="E83" s="163" t="s">
        <v>26</v>
      </c>
      <c r="F83" s="163"/>
      <c r="G83" s="163"/>
      <c r="H83" s="163"/>
      <c r="I83" s="163"/>
      <c r="J83" s="163"/>
      <c r="K83" s="163"/>
      <c r="L83" s="163"/>
      <c r="M83" s="163"/>
      <c r="N83" s="60"/>
      <c r="O83" s="60"/>
      <c r="P83" s="60"/>
      <c r="Q83" s="60"/>
      <c r="R83" s="61"/>
      <c r="S83" s="60"/>
      <c r="T83" s="60"/>
      <c r="U83" s="60"/>
      <c r="V83" s="60"/>
    </row>
    <row r="84" spans="2:22" s="64" customFormat="1" x14ac:dyDescent="0.25">
      <c r="B84" s="160" t="s">
        <v>173</v>
      </c>
      <c r="C84" s="161"/>
      <c r="D84" s="162"/>
      <c r="E84" s="163" t="s">
        <v>183</v>
      </c>
      <c r="F84" s="163"/>
      <c r="G84" s="163"/>
      <c r="H84" s="163"/>
      <c r="I84" s="163"/>
      <c r="J84" s="163"/>
      <c r="K84" s="163"/>
      <c r="L84" s="163"/>
      <c r="M84" s="163"/>
      <c r="N84" s="60"/>
      <c r="O84" s="60"/>
      <c r="P84" s="60"/>
      <c r="Q84" s="60"/>
      <c r="R84" s="61"/>
      <c r="S84" s="60"/>
      <c r="T84" s="60"/>
      <c r="U84" s="60"/>
      <c r="V84" s="60"/>
    </row>
    <row r="85" spans="2:22" s="64" customFormat="1" ht="17.399999999999999" customHeight="1" x14ac:dyDescent="0.25">
      <c r="B85" s="160" t="s">
        <v>174</v>
      </c>
      <c r="C85" s="161"/>
      <c r="D85" s="162"/>
      <c r="E85" s="164" t="s">
        <v>195</v>
      </c>
      <c r="F85" s="164"/>
      <c r="G85" s="164"/>
      <c r="H85" s="164"/>
      <c r="I85" s="164"/>
      <c r="J85" s="164"/>
      <c r="K85" s="164"/>
      <c r="L85" s="164"/>
      <c r="M85" s="164"/>
      <c r="N85" s="60"/>
      <c r="O85" s="60"/>
      <c r="P85" s="60"/>
      <c r="Q85" s="60"/>
      <c r="R85" s="61"/>
      <c r="S85" s="60"/>
      <c r="T85" s="60"/>
      <c r="U85" s="60"/>
      <c r="V85" s="60"/>
    </row>
    <row r="86" spans="2:22" s="64" customFormat="1" x14ac:dyDescent="0.25">
      <c r="B86" s="160" t="s">
        <v>175</v>
      </c>
      <c r="C86" s="161"/>
      <c r="D86" s="162"/>
      <c r="E86" s="172" t="s">
        <v>193</v>
      </c>
      <c r="F86" s="173"/>
      <c r="G86" s="173"/>
      <c r="H86" s="173"/>
      <c r="I86" s="173"/>
      <c r="J86" s="173"/>
      <c r="K86" s="173"/>
      <c r="L86" s="173"/>
      <c r="M86" s="174"/>
      <c r="N86" s="60"/>
      <c r="O86" s="60"/>
      <c r="P86" s="60"/>
      <c r="Q86" s="60"/>
      <c r="R86" s="61"/>
      <c r="S86" s="60"/>
      <c r="T86" s="60"/>
      <c r="U86" s="60"/>
      <c r="V86" s="60"/>
    </row>
    <row r="87" spans="2:22" s="64" customFormat="1" x14ac:dyDescent="0.25">
      <c r="B87" s="160" t="s">
        <v>176</v>
      </c>
      <c r="C87" s="161"/>
      <c r="D87" s="162"/>
      <c r="E87" s="163" t="s">
        <v>186</v>
      </c>
      <c r="F87" s="163"/>
      <c r="G87" s="163"/>
      <c r="H87" s="163"/>
      <c r="I87" s="163"/>
      <c r="J87" s="163"/>
      <c r="K87" s="163"/>
      <c r="L87" s="163"/>
      <c r="M87" s="163"/>
      <c r="N87" s="60"/>
      <c r="O87" s="60"/>
      <c r="P87" s="60"/>
      <c r="Q87" s="60"/>
      <c r="R87" s="61"/>
      <c r="S87" s="60"/>
      <c r="T87" s="60"/>
      <c r="U87" s="60"/>
      <c r="V87" s="60"/>
    </row>
    <row r="88" spans="2:22" s="64" customFormat="1" x14ac:dyDescent="0.25">
      <c r="B88" s="160" t="s">
        <v>177</v>
      </c>
      <c r="C88" s="161"/>
      <c r="D88" s="162"/>
      <c r="E88" s="163" t="s">
        <v>187</v>
      </c>
      <c r="F88" s="163"/>
      <c r="G88" s="163"/>
      <c r="H88" s="163"/>
      <c r="I88" s="163"/>
      <c r="J88" s="163"/>
      <c r="K88" s="163"/>
      <c r="L88" s="163"/>
      <c r="M88" s="163"/>
      <c r="N88" s="60"/>
      <c r="O88" s="60"/>
      <c r="P88" s="60"/>
      <c r="Q88" s="60"/>
      <c r="R88" s="61"/>
      <c r="S88" s="60"/>
      <c r="T88" s="60"/>
      <c r="U88" s="60"/>
      <c r="V88" s="60"/>
    </row>
    <row r="89" spans="2:22" s="64" customFormat="1" x14ac:dyDescent="0.25">
      <c r="B89" s="160" t="s">
        <v>178</v>
      </c>
      <c r="C89" s="161"/>
      <c r="D89" s="162"/>
      <c r="E89" s="163" t="s">
        <v>188</v>
      </c>
      <c r="F89" s="163"/>
      <c r="G89" s="163"/>
      <c r="H89" s="163"/>
      <c r="I89" s="163"/>
      <c r="J89" s="163"/>
      <c r="K89" s="163"/>
      <c r="L89" s="163"/>
      <c r="M89" s="163"/>
      <c r="N89" s="60"/>
      <c r="O89" s="60"/>
      <c r="P89" s="60"/>
      <c r="Q89" s="60"/>
      <c r="R89" s="61"/>
      <c r="S89" s="60"/>
      <c r="T89" s="60"/>
      <c r="U89" s="60"/>
      <c r="V89" s="60"/>
    </row>
    <row r="90" spans="2:22" s="64" customFormat="1" x14ac:dyDescent="0.25">
      <c r="B90" s="138" t="s">
        <v>179</v>
      </c>
      <c r="C90" s="128" t="s">
        <v>11</v>
      </c>
      <c r="D90" s="137"/>
      <c r="E90" s="129" t="s">
        <v>58</v>
      </c>
      <c r="F90" s="130" t="s">
        <v>57</v>
      </c>
      <c r="G90" s="129" t="s">
        <v>56</v>
      </c>
      <c r="H90" s="130" t="s">
        <v>55</v>
      </c>
      <c r="I90" s="129" t="s">
        <v>54</v>
      </c>
      <c r="J90" s="130" t="s">
        <v>53</v>
      </c>
      <c r="K90" s="129" t="s">
        <v>52</v>
      </c>
      <c r="L90" s="130" t="s">
        <v>51</v>
      </c>
      <c r="M90" s="129" t="s">
        <v>51</v>
      </c>
      <c r="N90" s="60"/>
      <c r="O90" s="60"/>
      <c r="P90" s="60"/>
      <c r="Q90" s="60"/>
      <c r="R90" s="61"/>
      <c r="S90" s="60"/>
      <c r="T90" s="60"/>
      <c r="U90" s="60"/>
      <c r="V90" s="60"/>
    </row>
    <row r="91" spans="2:22" s="64" customFormat="1" x14ac:dyDescent="0.25">
      <c r="B91" s="138" t="s">
        <v>180</v>
      </c>
      <c r="C91" s="128" t="s">
        <v>11</v>
      </c>
      <c r="D91" s="137"/>
      <c r="E91" s="129" t="s">
        <v>50</v>
      </c>
      <c r="F91" s="130" t="s">
        <v>49</v>
      </c>
      <c r="G91" s="129" t="s">
        <v>48</v>
      </c>
      <c r="H91" s="130" t="s">
        <v>47</v>
      </c>
      <c r="I91" s="129" t="s">
        <v>46</v>
      </c>
      <c r="J91" s="130" t="s">
        <v>45</v>
      </c>
      <c r="K91" s="129" t="s">
        <v>44</v>
      </c>
      <c r="L91" s="130" t="s">
        <v>43</v>
      </c>
      <c r="M91" s="129" t="s">
        <v>43</v>
      </c>
      <c r="N91" s="60"/>
      <c r="O91" s="60"/>
      <c r="P91" s="60"/>
      <c r="Q91" s="60"/>
      <c r="R91" s="61"/>
      <c r="S91" s="60"/>
      <c r="T91" s="60"/>
      <c r="U91" s="60"/>
      <c r="V91" s="60"/>
    </row>
    <row r="92" spans="2:22" s="64" customFormat="1" x14ac:dyDescent="0.25">
      <c r="B92" s="138" t="s">
        <v>182</v>
      </c>
      <c r="C92" s="128" t="s">
        <v>0</v>
      </c>
      <c r="D92" s="137"/>
      <c r="E92" s="131">
        <v>12.8</v>
      </c>
      <c r="F92" s="132">
        <v>14.1</v>
      </c>
      <c r="G92" s="131">
        <v>17</v>
      </c>
      <c r="H92" s="132">
        <v>18</v>
      </c>
      <c r="I92" s="131">
        <v>19.399999999999999</v>
      </c>
      <c r="J92" s="132">
        <v>26.7</v>
      </c>
      <c r="K92" s="131">
        <v>28.4</v>
      </c>
      <c r="L92" s="132">
        <v>33.200000000000003</v>
      </c>
      <c r="M92" s="131">
        <v>33.799999999999997</v>
      </c>
      <c r="N92" s="60"/>
      <c r="O92" s="60"/>
      <c r="P92" s="60"/>
      <c r="Q92" s="60"/>
      <c r="R92" s="61"/>
      <c r="S92" s="60"/>
      <c r="T92" s="60"/>
      <c r="U92" s="60"/>
      <c r="V92" s="60"/>
    </row>
    <row r="93" spans="2:22" s="64" customFormat="1" x14ac:dyDescent="0.25">
      <c r="B93" s="138" t="s">
        <v>181</v>
      </c>
      <c r="C93" s="128" t="s">
        <v>0</v>
      </c>
      <c r="D93" s="137"/>
      <c r="E93" s="131">
        <v>14</v>
      </c>
      <c r="F93" s="132">
        <v>15.4</v>
      </c>
      <c r="G93" s="131">
        <v>18.5</v>
      </c>
      <c r="H93" s="132">
        <v>19.7</v>
      </c>
      <c r="I93" s="131">
        <v>21.2</v>
      </c>
      <c r="J93" s="132">
        <v>29</v>
      </c>
      <c r="K93" s="131">
        <v>30.8</v>
      </c>
      <c r="L93" s="132">
        <v>36.200000000000003</v>
      </c>
      <c r="M93" s="131">
        <v>36.799999999999997</v>
      </c>
      <c r="N93" s="60"/>
      <c r="O93" s="60"/>
      <c r="P93" s="60"/>
      <c r="Q93" s="60"/>
      <c r="R93" s="61"/>
      <c r="S93" s="60"/>
      <c r="T93" s="60"/>
      <c r="U93" s="60"/>
      <c r="V93" s="60"/>
    </row>
    <row r="94" spans="2:22" s="64" customFormat="1" x14ac:dyDescent="0.25">
      <c r="N94" s="60"/>
      <c r="O94" s="60"/>
      <c r="P94" s="60"/>
      <c r="Q94" s="60"/>
      <c r="R94" s="61"/>
      <c r="S94" s="60"/>
      <c r="T94" s="60"/>
      <c r="U94" s="60"/>
      <c r="V94" s="60"/>
    </row>
    <row r="95" spans="2:22" s="64" customFormat="1" x14ac:dyDescent="0.25">
      <c r="C95" s="87"/>
      <c r="D95" s="87"/>
      <c r="N95" s="60"/>
      <c r="O95" s="60"/>
      <c r="P95" s="60"/>
      <c r="Q95" s="60"/>
      <c r="R95" s="61"/>
      <c r="S95" s="60"/>
      <c r="T95" s="60"/>
      <c r="U95" s="60"/>
      <c r="V95" s="60"/>
    </row>
    <row r="96" spans="2:22" s="64" customFormat="1" x14ac:dyDescent="0.25">
      <c r="C96" s="87"/>
      <c r="D96" s="87"/>
      <c r="N96" s="60"/>
      <c r="O96" s="60"/>
      <c r="P96" s="60"/>
      <c r="Q96" s="60"/>
      <c r="R96" s="61"/>
      <c r="S96" s="60"/>
      <c r="T96" s="60"/>
      <c r="U96" s="60"/>
      <c r="V96" s="60"/>
    </row>
    <row r="97" spans="3:22" s="64" customFormat="1" x14ac:dyDescent="0.25">
      <c r="C97" s="87"/>
      <c r="D97" s="87"/>
      <c r="N97" s="60"/>
      <c r="O97" s="60"/>
      <c r="P97" s="60"/>
      <c r="Q97" s="60"/>
      <c r="R97" s="61"/>
      <c r="S97" s="60"/>
      <c r="T97" s="60"/>
      <c r="U97" s="60"/>
      <c r="V97" s="60"/>
    </row>
  </sheetData>
  <sheetProtection algorithmName="SHA-512" hashValue="qAy2A1EkhIOMrrmbbV8+IXR9xvX+vgCOh+AlMghlbLWtNdoEyuaourtcGsryE6VR4FYed4W2ksNjnmxyZQsdBA==" saltValue="tsXfVokM9PCULDFWmuVtrA==" spinCount="100000" sheet="1" formatCells="0" formatColumns="0" formatRows="0" insertColumns="0" insertRows="0" insertHyperlinks="0" deleteColumns="0" deleteRows="0" sort="0" autoFilter="0" pivotTables="0"/>
  <mergeCells count="77">
    <mergeCell ref="B12:D12"/>
    <mergeCell ref="G6:J7"/>
    <mergeCell ref="G8:J8"/>
    <mergeCell ref="G10:H10"/>
    <mergeCell ref="I10:J10"/>
    <mergeCell ref="B13:B15"/>
    <mergeCell ref="C13:C15"/>
    <mergeCell ref="B16:B18"/>
    <mergeCell ref="C16:C18"/>
    <mergeCell ref="B19:B21"/>
    <mergeCell ref="C19:C21"/>
    <mergeCell ref="B22:B24"/>
    <mergeCell ref="C22:C24"/>
    <mergeCell ref="B25:D25"/>
    <mergeCell ref="E25:M25"/>
    <mergeCell ref="B26:B28"/>
    <mergeCell ref="C26:C28"/>
    <mergeCell ref="B29:B31"/>
    <mergeCell ref="C29:C31"/>
    <mergeCell ref="B32:B34"/>
    <mergeCell ref="C32:C34"/>
    <mergeCell ref="B35:B36"/>
    <mergeCell ref="C35:C36"/>
    <mergeCell ref="B37:B38"/>
    <mergeCell ref="C37:C38"/>
    <mergeCell ref="E39:M39"/>
    <mergeCell ref="B40:D40"/>
    <mergeCell ref="E40:M40"/>
    <mergeCell ref="B41:D41"/>
    <mergeCell ref="E41:M41"/>
    <mergeCell ref="B42:D42"/>
    <mergeCell ref="E42:M42"/>
    <mergeCell ref="B43:D43"/>
    <mergeCell ref="E43:M43"/>
    <mergeCell ref="B55:D55"/>
    <mergeCell ref="B56:B58"/>
    <mergeCell ref="C56:C58"/>
    <mergeCell ref="B44:D44"/>
    <mergeCell ref="E44:M44"/>
    <mergeCell ref="B45:D45"/>
    <mergeCell ref="E45:M45"/>
    <mergeCell ref="B46:D46"/>
    <mergeCell ref="E46:M46"/>
    <mergeCell ref="G53:H53"/>
    <mergeCell ref="I53:J53"/>
    <mergeCell ref="B72:B74"/>
    <mergeCell ref="C72:C74"/>
    <mergeCell ref="B59:B61"/>
    <mergeCell ref="C59:C61"/>
    <mergeCell ref="B62:B64"/>
    <mergeCell ref="C62:C64"/>
    <mergeCell ref="B65:B67"/>
    <mergeCell ref="C65:C67"/>
    <mergeCell ref="B89:D89"/>
    <mergeCell ref="E89:M89"/>
    <mergeCell ref="B86:D86"/>
    <mergeCell ref="E86:M86"/>
    <mergeCell ref="B87:D87"/>
    <mergeCell ref="E87:M87"/>
    <mergeCell ref="B88:D88"/>
    <mergeCell ref="E88:M88"/>
    <mergeCell ref="E68:M68"/>
    <mergeCell ref="B84:D84"/>
    <mergeCell ref="E84:M84"/>
    <mergeCell ref="B85:D85"/>
    <mergeCell ref="E85:M85"/>
    <mergeCell ref="B75:B77"/>
    <mergeCell ref="C75:C77"/>
    <mergeCell ref="E82:M82"/>
    <mergeCell ref="B83:D83"/>
    <mergeCell ref="E83:M83"/>
    <mergeCell ref="B78:B79"/>
    <mergeCell ref="C78:C79"/>
    <mergeCell ref="B80:B81"/>
    <mergeCell ref="C80:C81"/>
    <mergeCell ref="B69:B71"/>
    <mergeCell ref="C69:C71"/>
  </mergeCells>
  <conditionalFormatting sqref="E16:M21">
    <cfRule type="cellIs" dxfId="2" priority="1" operator="between">
      <formula>$V$4</formula>
      <formula>$V$5</formula>
    </cfRule>
  </conditionalFormatting>
  <conditionalFormatting sqref="E22:M24 E65:M67">
    <cfRule type="cellIs" dxfId="1" priority="3" operator="between">
      <formula>$V$4</formula>
      <formula>$V$5</formula>
    </cfRule>
  </conditionalFormatting>
  <conditionalFormatting sqref="E59:M64">
    <cfRule type="cellIs" dxfId="0" priority="2" operator="between">
      <formula>$V$4</formula>
      <formula>$V$5</formula>
    </cfRule>
  </conditionalFormatting>
  <printOptions horizontalCentered="1"/>
  <pageMargins left="0.78740157480314965" right="0.39370078740157483" top="0.35433070866141736" bottom="0.35433070866141736" header="0.31496062992125984" footer="0.31496062992125984"/>
  <pageSetup scale="49" orientation="portrait" r:id="rId1"/>
  <rowBreaks count="1" manualBreakCount="1">
    <brk id="93" min="1" max="12" man="1"/>
  </rowBreaks>
  <ignoredErrors>
    <ignoredError sqref="E13:M24 F36:M36 F35:M35 E35:E36 E59:M67 E72:M75 E78:M79 E26:M26 F25:M25"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FH4-H Select</vt:lpstr>
      <vt:lpstr>DF2 AC Select</vt:lpstr>
      <vt:lpstr>DF4 AC Select</vt:lpstr>
      <vt:lpstr>DF2 EC Select</vt:lpstr>
      <vt:lpstr>DF4 EC Select</vt:lpstr>
      <vt:lpstr>'DF2 AC Select'!Print_Area</vt:lpstr>
      <vt:lpstr>'DF2 EC Select'!Print_Area</vt:lpstr>
      <vt:lpstr>'DF4 AC Select'!Print_Area</vt:lpstr>
      <vt:lpstr>'DF4 EC Select'!Print_Area</vt:lpstr>
      <vt:lpstr>'FH4-H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Donatas Grigonis</cp:lastModifiedBy>
  <cp:lastPrinted>2026-01-10T19:47:34Z</cp:lastPrinted>
  <dcterms:created xsi:type="dcterms:W3CDTF">2026-01-10T14:58:05Z</dcterms:created>
  <dcterms:modified xsi:type="dcterms:W3CDTF">2026-09-10T15:56:15Z</dcterms:modified>
</cp:coreProperties>
</file>