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xr:revisionPtr revIDLastSave="0" documentId="13_ncr:1_{582D4568-2353-40E6-9E97-2B7A86DB6DCE}" xr6:coauthVersionLast="47" xr6:coauthVersionMax="47" xr10:uidLastSave="{00000000-0000-0000-0000-000000000000}"/>
  <bookViews>
    <workbookView xWindow="-108" yWindow="-108" windowWidth="23256" windowHeight="12456" xr2:uid="{47055A7C-4886-49AC-B27F-5626666B0721}"/>
  </bookViews>
  <sheets>
    <sheet name="CF AC Select" sheetId="1" r:id="rId1"/>
    <sheet name="CF EC Select" sheetId="2" r:id="rId2"/>
  </sheets>
  <definedNames>
    <definedName name="_xlnm.Print_Area" localSheetId="0">'CF AC Select'!$B$2:$N$95</definedName>
    <definedName name="_xlnm.Print_Area" localSheetId="1">'CF EC Select'!$B$2:$M$95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<sst xmlns="http://schemas.openxmlformats.org/spreadsheetml/2006/main" count="406" uniqueCount="87">
  <si>
    <t>Panelė</t>
  </si>
  <si>
    <t>kg</t>
  </si>
  <si>
    <t>Blokas</t>
  </si>
  <si>
    <t>1170x1170x75</t>
  </si>
  <si>
    <t>1010x1010x75</t>
  </si>
  <si>
    <t>860x860x75</t>
  </si>
  <si>
    <t>720x710x75</t>
  </si>
  <si>
    <t>mm</t>
  </si>
  <si>
    <t>1054x1054x305</t>
  </si>
  <si>
    <t>925x925x310</t>
  </si>
  <si>
    <t>800x800x310</t>
  </si>
  <si>
    <t>675x675x270</t>
  </si>
  <si>
    <t>1140x1140x30</t>
  </si>
  <si>
    <t>980x980x30</t>
  </si>
  <si>
    <t>830x830x30</t>
  </si>
  <si>
    <t>680x680x30</t>
  </si>
  <si>
    <t>960x960x290</t>
  </si>
  <si>
    <t>832x832x290</t>
  </si>
  <si>
    <t>705x705x290</t>
  </si>
  <si>
    <t>580x580x250</t>
  </si>
  <si>
    <t>IR nuotolinio valdymo pultas (pasirinktinai: laidinis valdiklis)</t>
  </si>
  <si>
    <t>Valdymas</t>
  </si>
  <si>
    <t>d26</t>
  </si>
  <si>
    <t>3/4" vidinis sriegis</t>
  </si>
  <si>
    <t>Varis - aliuminis</t>
  </si>
  <si>
    <t>Šilumokaičio medžiaga</t>
  </si>
  <si>
    <t>4 vamzdžių</t>
  </si>
  <si>
    <t>Šilumokaičio tipas</t>
  </si>
  <si>
    <t>AC variklis su nuolat įjungtu kondensatoriumi (PSC)</t>
  </si>
  <si>
    <t>Variklio tipas</t>
  </si>
  <si>
    <t>Išcentrinis ventiliatorius</t>
  </si>
  <si>
    <t>Ventiliatoriaus tipas</t>
  </si>
  <si>
    <t>B</t>
  </si>
  <si>
    <t>Izoliacijos klasė</t>
  </si>
  <si>
    <t>MPa</t>
  </si>
  <si>
    <t>Šildymas</t>
  </si>
  <si>
    <t>kPa</t>
  </si>
  <si>
    <t>Vėsinimas</t>
  </si>
  <si>
    <t>l/h</t>
  </si>
  <si>
    <t>Mažas</t>
  </si>
  <si>
    <t>Vid.</t>
  </si>
  <si>
    <t>Didelis</t>
  </si>
  <si>
    <t>dB(A)</t>
  </si>
  <si>
    <t>A</t>
  </si>
  <si>
    <t>W</t>
  </si>
  <si>
    <t>220~230 V / 1f / 50 arba 60 Hz</t>
  </si>
  <si>
    <r>
      <t>m</t>
    </r>
    <r>
      <rPr>
        <vertAlign val="superscript"/>
        <sz val="12"/>
        <rFont val="Open Sans"/>
        <family val="2"/>
      </rPr>
      <t>3</t>
    </r>
    <r>
      <rPr>
        <sz val="12"/>
        <rFont val="Open Sans"/>
        <family val="2"/>
      </rPr>
      <t>/h</t>
    </r>
  </si>
  <si>
    <t>Oro srautas</t>
  </si>
  <si>
    <t>Modelis</t>
  </si>
  <si>
    <t>2 vamzdžių</t>
  </si>
  <si>
    <t>Leistinas nuokrypis -</t>
  </si>
  <si>
    <t>Leistinas nuokrypis +</t>
  </si>
  <si>
    <t>Techniniai duomenys</t>
  </si>
  <si>
    <t>Patalpos temperatūra, °C</t>
  </si>
  <si>
    <t>dT</t>
  </si>
  <si>
    <t>Išeinantis vanduo, °C</t>
  </si>
  <si>
    <t>Vėsinimas / šildymas</t>
  </si>
  <si>
    <t>Įeinantis vanduo, °C</t>
  </si>
  <si>
    <r>
      <t xml:space="preserve">Vėsin.
</t>
    </r>
    <r>
      <rPr>
        <sz val="10"/>
        <rFont val="Open Sans"/>
        <family val="2"/>
      </rPr>
      <t>7/12/27C</t>
    </r>
  </si>
  <si>
    <r>
      <t xml:space="preserve">Šild.
</t>
    </r>
    <r>
      <rPr>
        <sz val="10"/>
        <rFont val="Open Sans"/>
        <family val="2"/>
      </rPr>
      <t>75/65/20C</t>
    </r>
  </si>
  <si>
    <t>AC varikliai</t>
  </si>
  <si>
    <t>4 vamzdžių</t>
  </si>
  <si>
    <t>2 vamzdžių</t>
  </si>
  <si>
    <t>EC varikliai</t>
  </si>
  <si>
    <t>EC variklis</t>
  </si>
  <si>
    <t>Kasetiniai fankoilai CF</t>
  </si>
  <si>
    <t>Reikalinga galia, W</t>
  </si>
  <si>
    <t>Oro srautas</t>
  </si>
  <si>
    <t>Maitinimas</t>
  </si>
  <si>
    <t>Maks. naudojama galia</t>
  </si>
  <si>
    <t>Maks. darbinė srovė</t>
  </si>
  <si>
    <t>Maks. garso slėgio lygis</t>
  </si>
  <si>
    <t>Vandens debitas</t>
  </si>
  <si>
    <t>Vandens slėgio nuostoliai</t>
  </si>
  <si>
    <t>Maks. darbinis slėgis</t>
  </si>
  <si>
    <t>Vandens prijungimai (įėj. / išėj.)</t>
  </si>
  <si>
    <t>Kondensato nuvedimas</t>
  </si>
  <si>
    <t>Matmenys P × G × A</t>
  </si>
  <si>
    <t>Pakuotės matmenys P × G × A</t>
  </si>
  <si>
    <t>Įrenginio svoris</t>
  </si>
  <si>
    <t>Svoris su pakuote</t>
  </si>
  <si>
    <t>Bendroji vėsinimo galia</t>
  </si>
  <si>
    <t>Jaučiamoji vėsinimo galia</t>
  </si>
  <si>
    <t>Šildymo galia</t>
  </si>
  <si>
    <t>Patalpos santykinė drėgmė, %</t>
  </si>
  <si>
    <t>dx latent 2-pipe</t>
  </si>
  <si>
    <t>dx latent 4-pipe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</si>
</sst>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2"/>
      <name val="Open Sans"/>
      <family val="2"/>
    </font>
    <font>
      <sz val="11"/>
      <name val="Open Sans"/>
      <family val="2"/>
    </font>
    <font>
      <sz val="12"/>
      <color rgb="FF000000"/>
      <name val="Open Sans"/>
      <family val="2"/>
    </font>
    <font>
      <b/>
      <sz val="12"/>
      <name val="Open Sans"/>
      <family val="2"/>
    </font>
    <font>
      <vertAlign val="superscript"/>
      <sz val="12"/>
      <name val="Open Sans"/>
      <family val="2"/>
    </font>
    <font>
      <sz val="14"/>
      <name val="Open Sans"/>
      <family val="2"/>
    </font>
    <font>
      <b/>
      <sz val="20"/>
      <name val="Open Sans"/>
      <family val="2"/>
    </font>
    <font>
      <b/>
      <sz val="22"/>
      <name val="Open Sans"/>
      <family val="2"/>
    </font>
    <font>
      <sz val="10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6E8E8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/>
      <top style="thin">
        <color rgb="FF211F1F"/>
      </top>
      <bottom style="thin">
        <color rgb="FF211F1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</cellStyleXfs>
  <cellXfs count="135">
    <xf numFmtId="0" fontId="0" fillId="0" borderId="0" xfId="0"/>
    <xf numFmtId="0" fontId="2" fillId="0" borderId="0" xfId="1" applyFont="1" applyAlignment="1" applyProtection="1">
      <alignment horizontal="left" vertical="top"/>
      <protection hidden="1"/>
    </xf>
    <xf numFmtId="0" fontId="2" fillId="0" borderId="0" xfId="1" applyFont="1" applyAlignment="1" applyProtection="1">
      <alignment horizontal="left" vertical="center"/>
      <protection hidden="1"/>
    </xf>
    <xf numFmtId="0" fontId="2" fillId="0" borderId="0" xfId="1" applyFont="1" applyAlignment="1" applyProtection="1">
      <alignment horizontal="center" vertical="top"/>
      <protection hidden="1"/>
    </xf>
    <xf numFmtId="0" fontId="5" fillId="0" borderId="0" xfId="1" applyFont="1" applyAlignment="1" applyProtection="1">
      <alignment vertical="center"/>
      <protection hidden="1"/>
    </xf>
    <xf numFmtId="0" fontId="2" fillId="0" borderId="0" xfId="0" applyFont="1" applyAlignment="1" applyProtection="1">
      <alignment horizontal="right" vertical="top"/>
      <protection hidden="1"/>
    </xf>
    <xf numFmtId="0" fontId="2" fillId="0" borderId="0" xfId="0" applyFont="1" applyAlignment="1" applyProtection="1">
      <alignment horizontal="left" vertical="top"/>
      <protection hidden="1"/>
    </xf>
    <xf numFmtId="0" fontId="2" fillId="0" borderId="0" xfId="0" applyFont="1" applyAlignment="1" applyProtection="1">
      <alignment vertical="top"/>
      <protection hidden="1"/>
    </xf>
    <xf numFmtId="0" fontId="5" fillId="0" borderId="0" xfId="1" applyFont="1" applyAlignment="1" applyProtection="1">
      <alignment vertical="top"/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0" borderId="0" xfId="3" applyFont="1" applyAlignment="1" applyProtection="1">
      <alignment horizontal="right" vertical="center"/>
      <protection hidden="1"/>
    </xf>
    <xf numFmtId="0" fontId="2" fillId="0" borderId="1" xfId="0" applyFont="1" applyBorder="1" applyAlignment="1" applyProtection="1">
      <alignment horizontal="center" vertical="top"/>
      <protection hidden="1"/>
    </xf>
    <xf numFmtId="0" fontId="2" fillId="0" borderId="0" xfId="0" applyFont="1" applyAlignment="1" applyProtection="1">
      <alignment horizontal="center" vertical="top"/>
      <protection hidden="1"/>
    </xf>
    <xf numFmtId="0" fontId="2" fillId="0" borderId="0" xfId="1" applyFont="1" applyAlignment="1" applyProtection="1">
      <alignment horizontal="center" vertical="center"/>
      <protection hidden="1"/>
    </xf>
    <xf numFmtId="0" fontId="8" fillId="0" borderId="0" xfId="1" applyFont="1" applyAlignment="1" applyProtection="1">
      <alignment vertical="center"/>
      <protection hidden="1"/>
    </xf>
    <xf numFmtId="0" fontId="2" fillId="0" borderId="0" xfId="1" applyFont="1" applyAlignment="1" applyProtection="1">
      <alignment vertical="center"/>
      <protection hidden="1"/>
    </xf>
    <xf numFmtId="0" fontId="2" fillId="0" borderId="14" xfId="0" applyFont="1" applyBorder="1" applyAlignment="1" applyProtection="1">
      <alignment horizontal="center" vertical="top" wrapText="1"/>
      <protection hidden="1"/>
    </xf>
    <xf numFmtId="0" fontId="5" fillId="0" borderId="14" xfId="0" applyFont="1" applyBorder="1" applyAlignment="1" applyProtection="1">
      <alignment horizontal="center" vertical="center"/>
      <protection hidden="1"/>
    </xf>
    <xf numFmtId="0" fontId="2" fillId="0" borderId="21" xfId="0" applyFont="1" applyBorder="1" applyAlignment="1" applyProtection="1">
      <alignment horizontal="center" vertical="top" wrapText="1"/>
      <protection hidden="1"/>
    </xf>
    <xf numFmtId="1" fontId="2" fillId="2" borderId="21" xfId="0" applyNumberFormat="1" applyFont="1" applyFill="1" applyBorder="1" applyAlignment="1" applyProtection="1">
      <alignment horizontal="center" vertical="center" shrinkToFit="1"/>
      <protection hidden="1"/>
    </xf>
    <xf numFmtId="1" fontId="2" fillId="0" borderId="21" xfId="0" applyNumberFormat="1" applyFont="1" applyBorder="1" applyAlignment="1" applyProtection="1">
      <alignment horizontal="center" vertical="center" shrinkToFit="1"/>
      <protection hidden="1"/>
    </xf>
    <xf numFmtId="1" fontId="2" fillId="0" borderId="20" xfId="0" applyNumberFormat="1" applyFont="1" applyBorder="1" applyAlignment="1" applyProtection="1">
      <alignment horizontal="center" vertical="center" shrinkToFit="1"/>
      <protection hidden="1"/>
    </xf>
    <xf numFmtId="0" fontId="2" fillId="0" borderId="1" xfId="0" applyFont="1" applyBorder="1" applyAlignment="1" applyProtection="1">
      <alignment horizontal="center" vertical="top" wrapText="1"/>
      <protection hidden="1"/>
    </xf>
    <xf numFmtId="1" fontId="2" fillId="2" borderId="1" xfId="0" applyNumberFormat="1" applyFont="1" applyFill="1" applyBorder="1" applyAlignment="1" applyProtection="1">
      <alignment horizontal="center" vertical="center" shrinkToFit="1"/>
      <protection hidden="1"/>
    </xf>
    <xf numFmtId="1" fontId="2" fillId="0" borderId="1" xfId="0" applyNumberFormat="1" applyFont="1" applyBorder="1" applyAlignment="1" applyProtection="1">
      <alignment horizontal="center" vertical="center" shrinkToFit="1"/>
      <protection hidden="1"/>
    </xf>
    <xf numFmtId="1" fontId="2" fillId="0" borderId="18" xfId="0" applyNumberFormat="1" applyFont="1" applyBorder="1" applyAlignment="1" applyProtection="1">
      <alignment horizontal="center" vertical="center" shrinkToFit="1"/>
      <protection hidden="1"/>
    </xf>
    <xf numFmtId="0" fontId="2" fillId="0" borderId="16" xfId="0" applyFont="1" applyBorder="1" applyAlignment="1" applyProtection="1">
      <alignment horizontal="center" vertical="top" wrapText="1"/>
      <protection hidden="1"/>
    </xf>
    <xf numFmtId="1" fontId="2" fillId="2" borderId="16" xfId="0" applyNumberFormat="1" applyFont="1" applyFill="1" applyBorder="1" applyAlignment="1" applyProtection="1">
      <alignment horizontal="center" vertical="center" shrinkToFit="1"/>
      <protection hidden="1"/>
    </xf>
    <xf numFmtId="1" fontId="2" fillId="0" borderId="16" xfId="0" applyNumberFormat="1" applyFont="1" applyBorder="1" applyAlignment="1" applyProtection="1">
      <alignment horizontal="center" vertical="center" shrinkToFit="1"/>
      <protection hidden="1"/>
    </xf>
    <xf numFmtId="1" fontId="2" fillId="0" borderId="15" xfId="0" applyNumberFormat="1" applyFont="1" applyBorder="1" applyAlignment="1" applyProtection="1">
      <alignment horizontal="center" vertical="center" shrinkToFit="1"/>
      <protection hidden="1"/>
    </xf>
    <xf numFmtId="3" fontId="2" fillId="2" borderId="21" xfId="0" applyNumberFormat="1" applyFont="1" applyFill="1" applyBorder="1" applyAlignment="1" applyProtection="1">
      <alignment horizontal="center" vertical="center" shrinkToFit="1"/>
      <protection hidden="1"/>
    </xf>
    <xf numFmtId="3" fontId="2" fillId="0" borderId="21" xfId="0" applyNumberFormat="1" applyFont="1" applyBorder="1" applyAlignment="1" applyProtection="1">
      <alignment horizontal="center" vertical="center" shrinkToFit="1"/>
      <protection hidden="1"/>
    </xf>
    <xf numFmtId="3" fontId="2" fillId="0" borderId="20" xfId="0" applyNumberFormat="1" applyFont="1" applyBorder="1" applyAlignment="1" applyProtection="1">
      <alignment horizontal="center" vertical="center" shrinkToFit="1"/>
      <protection hidden="1"/>
    </xf>
    <xf numFmtId="3" fontId="2" fillId="2" borderId="1" xfId="0" applyNumberFormat="1" applyFont="1" applyFill="1" applyBorder="1" applyAlignment="1" applyProtection="1">
      <alignment horizontal="center" vertical="center" shrinkToFit="1"/>
      <protection hidden="1"/>
    </xf>
    <xf numFmtId="3" fontId="2" fillId="0" borderId="1" xfId="0" applyNumberFormat="1" applyFont="1" applyBorder="1" applyAlignment="1" applyProtection="1">
      <alignment horizontal="center" vertical="center" shrinkToFit="1"/>
      <protection hidden="1"/>
    </xf>
    <xf numFmtId="3" fontId="2" fillId="0" borderId="18" xfId="0" applyNumberFormat="1" applyFont="1" applyBorder="1" applyAlignment="1" applyProtection="1">
      <alignment horizontal="center" vertical="center" shrinkToFit="1"/>
      <protection hidden="1"/>
    </xf>
    <xf numFmtId="3" fontId="2" fillId="2" borderId="16" xfId="0" applyNumberFormat="1" applyFont="1" applyFill="1" applyBorder="1" applyAlignment="1" applyProtection="1">
      <alignment horizontal="center" vertical="center" shrinkToFit="1"/>
      <protection hidden="1"/>
    </xf>
    <xf numFmtId="3" fontId="2" fillId="0" borderId="16" xfId="0" applyNumberFormat="1" applyFont="1" applyBorder="1" applyAlignment="1" applyProtection="1">
      <alignment horizontal="center" vertical="center" shrinkToFit="1"/>
      <protection hidden="1"/>
    </xf>
    <xf numFmtId="3" fontId="2" fillId="0" borderId="15" xfId="0" applyNumberFormat="1" applyFont="1" applyBorder="1" applyAlignment="1" applyProtection="1">
      <alignment horizontal="center" vertical="center" shrinkToFit="1"/>
      <protection hidden="1"/>
    </xf>
    <xf numFmtId="0" fontId="2" fillId="0" borderId="11" xfId="0" applyFont="1" applyBorder="1" applyAlignment="1" applyProtection="1">
      <alignment horizontal="center" vertical="center" wrapText="1"/>
      <protection hidden="1"/>
    </xf>
    <xf numFmtId="0" fontId="4" fillId="0" borderId="0" xfId="0" applyFont="1" applyAlignment="1" applyProtection="1">
      <alignment horizontal="left" vertical="top"/>
      <protection hidden="1"/>
    </xf>
    <xf numFmtId="0" fontId="4" fillId="0" borderId="0" xfId="0" applyFont="1" applyAlignment="1" applyProtection="1">
      <alignment horizontal="center" vertical="top"/>
      <protection hidden="1"/>
    </xf>
    <xf numFmtId="0" fontId="4" fillId="0" borderId="1" xfId="0" applyFont="1" applyBorder="1" applyAlignment="1" applyProtection="1">
      <alignment vertical="top"/>
      <protection hidden="1"/>
    </xf>
    <xf numFmtId="2" fontId="2" fillId="2" borderId="1" xfId="0" applyNumberFormat="1" applyFont="1" applyFill="1" applyBorder="1" applyAlignment="1" applyProtection="1">
      <alignment horizontal="center" vertical="center" shrinkToFit="1"/>
      <protection hidden="1"/>
    </xf>
    <xf numFmtId="2" fontId="2" fillId="0" borderId="1" xfId="0" applyNumberFormat="1" applyFont="1" applyBorder="1" applyAlignment="1" applyProtection="1">
      <alignment horizontal="center" vertical="center" shrinkToFit="1"/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2" fillId="0" borderId="11" xfId="0" applyFont="1" applyBorder="1" applyAlignment="1" applyProtection="1">
      <alignment horizontal="center" vertical="top" wrapText="1"/>
      <protection hidden="1"/>
    </xf>
    <xf numFmtId="0" fontId="2" fillId="0" borderId="1" xfId="0" applyFont="1" applyBorder="1" applyAlignment="1" applyProtection="1">
      <alignment vertical="top" wrapText="1"/>
      <protection hidden="1"/>
    </xf>
    <xf numFmtId="0" fontId="2" fillId="0" borderId="4" xfId="0" applyFont="1" applyBorder="1" applyAlignment="1" applyProtection="1">
      <alignment vertical="top" wrapText="1"/>
      <protection hidden="1"/>
    </xf>
    <xf numFmtId="0" fontId="4" fillId="0" borderId="1" xfId="0" applyFont="1" applyBorder="1" applyAlignment="1" applyProtection="1">
      <alignment horizontal="center" vertical="top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164" fontId="2" fillId="0" borderId="1" xfId="0" applyNumberFormat="1" applyFont="1" applyBorder="1" applyAlignment="1" applyProtection="1">
      <alignment horizontal="center" vertical="center" shrinkToFit="1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top" wrapText="1"/>
      <protection hidden="1"/>
    </xf>
    <xf numFmtId="0" fontId="2" fillId="0" borderId="0" xfId="0" applyFont="1" applyAlignment="1" applyProtection="1">
      <alignment horizontal="left" vertical="top" wrapText="1"/>
      <protection hidden="1"/>
    </xf>
    <xf numFmtId="164" fontId="2" fillId="0" borderId="0" xfId="0" applyNumberFormat="1" applyFont="1" applyAlignment="1" applyProtection="1">
      <alignment horizontal="center" vertical="center" shrinkToFit="1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164" fontId="2" fillId="0" borderId="0" xfId="0" applyNumberFormat="1" applyFont="1" applyAlignment="1" applyProtection="1">
      <alignment horizontal="center" vertical="top" shrinkToFit="1"/>
      <protection hidden="1"/>
    </xf>
    <xf numFmtId="0" fontId="2" fillId="0" borderId="21" xfId="0" applyFont="1" applyBorder="1" applyAlignment="1" applyProtection="1">
      <alignment horizontal="center" vertical="center" wrapText="1"/>
      <protection hidden="1"/>
    </xf>
    <xf numFmtId="0" fontId="2" fillId="0" borderId="16" xfId="0" applyFont="1" applyBorder="1" applyAlignment="1" applyProtection="1">
      <alignment horizontal="center" vertical="center" wrapText="1"/>
      <protection hidden="1"/>
    </xf>
    <xf numFmtId="2" fontId="2" fillId="0" borderId="0" xfId="0" applyNumberFormat="1" applyFont="1" applyAlignment="1" applyProtection="1">
      <alignment horizontal="left" vertical="top"/>
      <protection hidden="1"/>
    </xf>
    <xf numFmtId="0" fontId="2" fillId="0" borderId="14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vertical="center"/>
      <protection hidden="1"/>
    </xf>
    <xf numFmtId="0" fontId="2" fillId="0" borderId="26" xfId="0" applyFont="1" applyBorder="1" applyAlignment="1" applyProtection="1">
      <alignment horizontal="center" vertical="center" wrapText="1"/>
      <protection hidden="1"/>
    </xf>
    <xf numFmtId="1" fontId="2" fillId="2" borderId="20" xfId="0" applyNumberFormat="1" applyFont="1" applyFill="1" applyBorder="1" applyAlignment="1" applyProtection="1">
      <alignment horizontal="center" vertical="center" shrinkToFit="1"/>
      <protection hidden="1"/>
    </xf>
    <xf numFmtId="1" fontId="2" fillId="2" borderId="18" xfId="0" applyNumberFormat="1" applyFont="1" applyFill="1" applyBorder="1" applyAlignment="1" applyProtection="1">
      <alignment horizontal="center" vertical="center" shrinkToFit="1"/>
      <protection hidden="1"/>
    </xf>
    <xf numFmtId="1" fontId="2" fillId="2" borderId="15" xfId="0" applyNumberFormat="1" applyFont="1" applyFill="1" applyBorder="1" applyAlignment="1" applyProtection="1">
      <alignment horizontal="center" vertical="center" shrinkToFit="1"/>
      <protection hidden="1"/>
    </xf>
    <xf numFmtId="3" fontId="2" fillId="2" borderId="20" xfId="0" applyNumberFormat="1" applyFont="1" applyFill="1" applyBorder="1" applyAlignment="1" applyProtection="1">
      <alignment horizontal="center" vertical="center" shrinkToFit="1"/>
      <protection hidden="1"/>
    </xf>
    <xf numFmtId="3" fontId="2" fillId="2" borderId="18" xfId="0" applyNumberFormat="1" applyFont="1" applyFill="1" applyBorder="1" applyAlignment="1" applyProtection="1">
      <alignment horizontal="center" vertical="center" shrinkToFit="1"/>
      <protection hidden="1"/>
    </xf>
    <xf numFmtId="3" fontId="2" fillId="2" borderId="15" xfId="0" applyNumberFormat="1" applyFont="1" applyFill="1" applyBorder="1" applyAlignment="1" applyProtection="1">
      <alignment horizontal="center" vertical="center" shrinkToFit="1"/>
      <protection hidden="1"/>
    </xf>
    <xf numFmtId="0" fontId="5" fillId="0" borderId="1" xfId="0" applyFont="1" applyBorder="1" applyAlignment="1" applyProtection="1">
      <alignment horizontal="center" vertical="center"/>
      <protection locked="0" hidden="1"/>
    </xf>
    <xf numFmtId="3" fontId="5" fillId="0" borderId="1" xfId="0" applyNumberFormat="1" applyFont="1" applyBorder="1" applyAlignment="1" applyProtection="1">
      <alignment horizontal="center" vertical="center"/>
      <protection locked="0" hidden="1"/>
    </xf>
    <xf numFmtId="9" fontId="2" fillId="0" borderId="1" xfId="2" applyFont="1" applyFill="1" applyBorder="1" applyAlignment="1" applyProtection="1">
      <alignment horizontal="center" vertical="center"/>
      <protection locked="0" hidden="1"/>
    </xf>
    <xf numFmtId="0" fontId="4" fillId="0" borderId="1" xfId="0" applyFont="1" applyBorder="1" applyAlignment="1" applyProtection="1">
      <alignment horizontal="left" vertical="top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9" fillId="0" borderId="0" xfId="1" applyFont="1" applyAlignment="1" applyProtection="1">
      <alignment horizontal="center" vertical="center"/>
      <protection hidden="1"/>
    </xf>
    <xf numFmtId="0" fontId="7" fillId="0" borderId="0" xfId="1" applyFont="1" applyAlignment="1" applyProtection="1">
      <alignment horizontal="center" vertical="center"/>
      <protection hidden="1"/>
    </xf>
    <xf numFmtId="0" fontId="2" fillId="0" borderId="25" xfId="0" applyFont="1" applyBorder="1" applyAlignment="1" applyProtection="1">
      <alignment horizontal="center" vertical="top" wrapText="1"/>
      <protection hidden="1"/>
    </xf>
    <xf numFmtId="0" fontId="2" fillId="0" borderId="23" xfId="0" applyFont="1" applyBorder="1" applyAlignment="1" applyProtection="1">
      <alignment horizontal="center" vertical="top" wrapText="1"/>
      <protection hidden="1"/>
    </xf>
    <xf numFmtId="0" fontId="2" fillId="0" borderId="24" xfId="0" applyFont="1" applyBorder="1" applyAlignment="1" applyProtection="1">
      <alignment horizontal="center" vertical="top" wrapText="1"/>
      <protection hidden="1"/>
    </xf>
    <xf numFmtId="0" fontId="2" fillId="0" borderId="7" xfId="0" applyFont="1" applyBorder="1" applyAlignment="1" applyProtection="1">
      <alignment vertical="top" wrapText="1"/>
      <protection hidden="1"/>
    </xf>
    <xf numFmtId="0" fontId="2" fillId="0" borderId="6" xfId="0" applyFont="1" applyBorder="1" applyAlignment="1" applyProtection="1">
      <alignment vertical="top" wrapText="1"/>
      <protection hidden="1"/>
    </xf>
    <xf numFmtId="0" fontId="2" fillId="0" borderId="5" xfId="0" applyFont="1" applyBorder="1" applyAlignment="1" applyProtection="1">
      <alignment vertical="top" wrapText="1"/>
      <protection hidden="1"/>
    </xf>
    <xf numFmtId="0" fontId="2" fillId="0" borderId="11" xfId="0" applyFont="1" applyBorder="1" applyAlignment="1" applyProtection="1">
      <alignment horizontal="center" vertical="center" wrapText="1"/>
      <protection hidden="1"/>
    </xf>
    <xf numFmtId="0" fontId="2" fillId="0" borderId="14" xfId="0" applyFont="1" applyBorder="1" applyAlignment="1" applyProtection="1">
      <alignment horizontal="left" vertical="top" wrapText="1"/>
      <protection hidden="1"/>
    </xf>
    <xf numFmtId="0" fontId="2" fillId="0" borderId="23" xfId="0" applyFont="1" applyBorder="1" applyAlignment="1" applyProtection="1">
      <alignment horizontal="left" vertical="top" wrapText="1"/>
      <protection hidden="1"/>
    </xf>
    <xf numFmtId="0" fontId="2" fillId="0" borderId="11" xfId="0" applyFont="1" applyBorder="1" applyAlignment="1" applyProtection="1">
      <alignment horizontal="left" vertical="top" wrapText="1"/>
      <protection hidden="1"/>
    </xf>
    <xf numFmtId="0" fontId="2" fillId="0" borderId="22" xfId="0" applyFont="1" applyBorder="1" applyAlignment="1" applyProtection="1">
      <alignment horizontal="left" vertical="top" wrapText="1"/>
      <protection hidden="1"/>
    </xf>
    <xf numFmtId="0" fontId="2" fillId="0" borderId="19" xfId="0" applyFont="1" applyBorder="1" applyAlignment="1" applyProtection="1">
      <alignment horizontal="left" vertical="top" wrapText="1"/>
      <protection hidden="1"/>
    </xf>
    <xf numFmtId="0" fontId="2" fillId="0" borderId="17" xfId="0" applyFont="1" applyBorder="1" applyAlignment="1" applyProtection="1">
      <alignment horizontal="left" vertical="top" wrapText="1"/>
      <protection hidden="1"/>
    </xf>
    <xf numFmtId="0" fontId="2" fillId="0" borderId="14" xfId="0" applyFont="1" applyBorder="1" applyAlignment="1" applyProtection="1">
      <alignment horizontal="center" vertical="top" wrapText="1"/>
      <protection hidden="1"/>
    </xf>
    <xf numFmtId="0" fontId="2" fillId="0" borderId="11" xfId="0" applyFont="1" applyBorder="1" applyAlignment="1" applyProtection="1">
      <alignment horizontal="center" vertical="top" wrapText="1"/>
      <protection hidden="1"/>
    </xf>
    <xf numFmtId="0" fontId="2" fillId="0" borderId="4" xfId="0" applyFont="1" applyBorder="1" applyAlignment="1" applyProtection="1">
      <alignment horizontal="left" vertical="top" wrapText="1"/>
      <protection hidden="1"/>
    </xf>
    <xf numFmtId="0" fontId="2" fillId="0" borderId="3" xfId="0" applyFont="1" applyBorder="1" applyAlignment="1" applyProtection="1">
      <alignment horizontal="left" vertical="top" wrapText="1"/>
      <protection hidden="1"/>
    </xf>
    <xf numFmtId="0" fontId="2" fillId="0" borderId="2" xfId="0" applyFont="1" applyBorder="1" applyAlignment="1" applyProtection="1">
      <alignment horizontal="left" vertical="top" wrapText="1"/>
      <protection hidden="1"/>
    </xf>
    <xf numFmtId="0" fontId="5" fillId="0" borderId="27" xfId="1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left" vertical="top" wrapText="1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1" fontId="2" fillId="0" borderId="1" xfId="0" applyNumberFormat="1" applyFont="1" applyBorder="1" applyAlignment="1" applyProtection="1">
      <alignment horizontal="center" vertical="center" shrinkToFit="1"/>
      <protection hidden="1"/>
    </xf>
    <xf numFmtId="164" fontId="2" fillId="0" borderId="1" xfId="0" applyNumberFormat="1" applyFont="1" applyBorder="1" applyAlignment="1" applyProtection="1">
      <alignment horizontal="center" vertical="center" shrinkToFit="1"/>
      <protection hidden="1"/>
    </xf>
    <xf numFmtId="0" fontId="2" fillId="0" borderId="21" xfId="0" applyFont="1" applyBorder="1" applyAlignment="1" applyProtection="1">
      <alignment horizontal="center" vertical="center" wrapText="1"/>
      <protection hidden="1"/>
    </xf>
    <xf numFmtId="0" fontId="2" fillId="0" borderId="16" xfId="0" applyFont="1" applyBorder="1" applyAlignment="1" applyProtection="1">
      <alignment horizontal="center" vertical="center" wrapText="1"/>
      <protection hidden="1"/>
    </xf>
    <xf numFmtId="0" fontId="2" fillId="0" borderId="14" xfId="0" applyFont="1" applyBorder="1" applyAlignment="1" applyProtection="1">
      <alignment vertical="top" wrapText="1"/>
      <protection hidden="1"/>
    </xf>
    <xf numFmtId="0" fontId="2" fillId="0" borderId="21" xfId="0" applyFont="1" applyBorder="1" applyAlignment="1" applyProtection="1">
      <alignment horizontal="left" vertical="top" wrapText="1"/>
      <protection hidden="1"/>
    </xf>
    <xf numFmtId="0" fontId="2" fillId="0" borderId="16" xfId="0" applyFont="1" applyBorder="1" applyAlignment="1" applyProtection="1">
      <alignment horizontal="left" vertical="top" wrapText="1"/>
      <protection hidden="1"/>
    </xf>
    <xf numFmtId="0" fontId="2" fillId="0" borderId="1" xfId="0" applyFont="1" applyBorder="1" applyAlignment="1" applyProtection="1">
      <alignment vertical="top" wrapText="1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4" fillId="0" borderId="4" xfId="0" applyFont="1" applyBorder="1" applyAlignment="1" applyProtection="1">
      <alignment vertical="top"/>
      <protection hidden="1"/>
    </xf>
    <xf numFmtId="0" fontId="4" fillId="0" borderId="3" xfId="0" applyFont="1" applyBorder="1" applyAlignment="1" applyProtection="1">
      <alignment vertical="top"/>
      <protection hidden="1"/>
    </xf>
    <xf numFmtId="0" fontId="4" fillId="0" borderId="2" xfId="0" applyFont="1" applyBorder="1" applyAlignment="1" applyProtection="1">
      <alignment vertical="top"/>
      <protection hidden="1"/>
    </xf>
    <xf numFmtId="0" fontId="2" fillId="0" borderId="10" xfId="0" applyFont="1" applyBorder="1" applyAlignment="1" applyProtection="1">
      <alignment horizontal="left" vertical="top" wrapText="1"/>
      <protection hidden="1"/>
    </xf>
    <xf numFmtId="0" fontId="2" fillId="0" borderId="9" xfId="0" applyFont="1" applyBorder="1" applyAlignment="1" applyProtection="1">
      <alignment horizontal="left" vertical="top" wrapText="1"/>
      <protection hidden="1"/>
    </xf>
    <xf numFmtId="0" fontId="2" fillId="0" borderId="8" xfId="0" applyFont="1" applyBorder="1" applyAlignment="1" applyProtection="1">
      <alignment horizontal="left" vertical="top" wrapText="1"/>
      <protection hidden="1"/>
    </xf>
    <xf numFmtId="0" fontId="2" fillId="0" borderId="7" xfId="0" applyFont="1" applyBorder="1" applyAlignment="1" applyProtection="1">
      <alignment horizontal="left" vertical="top" wrapText="1"/>
      <protection hidden="1"/>
    </xf>
    <xf numFmtId="0" fontId="2" fillId="0" borderId="6" xfId="0" applyFont="1" applyBorder="1" applyAlignment="1" applyProtection="1">
      <alignment horizontal="left" vertical="top" wrapText="1"/>
      <protection hidden="1"/>
    </xf>
    <xf numFmtId="0" fontId="2" fillId="0" borderId="5" xfId="0" applyFont="1" applyBorder="1" applyAlignment="1" applyProtection="1">
      <alignment horizontal="left" vertical="top" wrapText="1"/>
      <protection hidden="1"/>
    </xf>
    <xf numFmtId="0" fontId="2" fillId="0" borderId="13" xfId="0" applyFont="1" applyBorder="1" applyAlignment="1" applyProtection="1">
      <alignment horizontal="left" vertical="top" wrapText="1"/>
      <protection hidden="1"/>
    </xf>
    <xf numFmtId="0" fontId="2" fillId="0" borderId="0" xfId="0" applyFont="1" applyAlignment="1" applyProtection="1">
      <alignment horizontal="left" vertical="top" wrapText="1"/>
      <protection hidden="1"/>
    </xf>
    <xf numFmtId="0" fontId="2" fillId="0" borderId="12" xfId="0" applyFont="1" applyBorder="1" applyAlignment="1" applyProtection="1">
      <alignment horizontal="left" vertical="top" wrapText="1"/>
      <protection hidden="1"/>
    </xf>
    <xf numFmtId="0" fontId="2" fillId="0" borderId="11" xfId="0" applyFont="1" applyBorder="1" applyAlignment="1" applyProtection="1">
      <alignment vertical="top" wrapText="1"/>
      <protection hidden="1"/>
    </xf>
    <xf numFmtId="0" fontId="2" fillId="0" borderId="7" xfId="0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5" fillId="0" borderId="4" xfId="0" applyFont="1" applyBorder="1" applyAlignment="1" applyProtection="1">
      <alignment horizontal="center" vertical="center" wrapText="1"/>
      <protection hidden="1"/>
    </xf>
    <xf numFmtId="0" fontId="5" fillId="0" borderId="3" xfId="0" applyFont="1" applyBorder="1" applyAlignment="1" applyProtection="1">
      <alignment horizontal="center" vertical="center" wrapText="1"/>
      <protection hidden="1"/>
    </xf>
    <xf numFmtId="0" fontId="5" fillId="0" borderId="2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vertical="top"/>
      <protection hidden="1"/>
    </xf>
    <xf numFmtId="164" fontId="2" fillId="0" borderId="4" xfId="0" applyNumberFormat="1" applyFont="1" applyBorder="1" applyAlignment="1" applyProtection="1">
      <alignment horizontal="center" vertical="center" shrinkToFit="1"/>
      <protection hidden="1"/>
    </xf>
    <xf numFmtId="164" fontId="2" fillId="0" borderId="3" xfId="0" applyNumberFormat="1" applyFont="1" applyBorder="1" applyAlignment="1" applyProtection="1">
      <alignment horizontal="center" vertical="center" shrinkToFit="1"/>
      <protection hidden="1"/>
    </xf>
    <xf numFmtId="164" fontId="2" fillId="0" borderId="2" xfId="0" applyNumberFormat="1" applyFont="1" applyBorder="1" applyAlignment="1" applyProtection="1">
      <alignment horizontal="center" vertical="center" shrinkToFit="1"/>
      <protection hidden="1"/>
    </xf>
  </cellXfs>
  <cellStyles count="4">
    <cellStyle name="Įprastas 2" xfId="3" xr:uid="{C719E6B8-FB18-4634-AF25-C4710B6A8A8C}"/>
    <cellStyle name="Normal" xfId="0" builtinId="0"/>
    <cellStyle name="Normal 2" xfId="1" xr:uid="{63DF8B45-2385-4CDC-83F9-0708947FA393}"/>
    <cellStyle name="Percent 2" xfId="2" xr:uid="{D5065152-9A19-42B3-B89A-8837FA54CE75}"/>
  </cellStyles>
  <dxfs count="4">
    <dxf>
      <font>
        <b/>
        <i val="0"/>
        <strike val="0"/>
        <color theme="0"/>
      </font>
      <fill>
        <patternFill>
          <bgColor rgb="FFFF6969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/>
        <i val="0"/>
        <strike val="0"/>
        <color theme="0"/>
      </font>
      <fill>
        <patternFill>
          <bgColor theme="3" tint="0.49998474074526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/>
        <i val="0"/>
        <strike val="0"/>
        <color theme="0"/>
      </font>
      <fill>
        <patternFill>
          <bgColor rgb="FFFF6969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/>
        <i val="0"/>
        <strike val="0"/>
        <color theme="0"/>
      </font>
      <fill>
        <patternFill>
          <bgColor theme="3" tint="0.49998474074526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27463</xdr:colOff>
      <xdr:row>1</xdr:row>
      <xdr:rowOff>32367</xdr:rowOff>
    </xdr:from>
    <xdr:ext cx="4027897" cy="1908616"/>
    <xdr:pic>
      <xdr:nvPicPr>
        <xdr:cNvPr id="2" name="Picture 1">
          <a:extLst>
            <a:ext uri="{FF2B5EF4-FFF2-40B4-BE49-F238E27FC236}">
              <a16:creationId xmlns:a16="http://schemas.microsoft.com/office/drawing/2014/main" id="{3723FD0E-9687-4BD1-8D2D-A1CA25595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7208" r="14"/>
        <a:stretch>
          <a:fillRect/>
        </a:stretch>
      </xdr:blipFill>
      <xdr:spPr>
        <a:xfrm>
          <a:off x="629443" y="200007"/>
          <a:ext cx="4027897" cy="1908616"/>
        </a:xfrm>
        <a:prstGeom prst="rect">
          <a:avLst/>
        </a:prstGeom>
      </xdr:spPr>
    </xdr:pic>
    <xdr:clientData/>
  </xdr:oneCellAnchor>
  <xdr:oneCellAnchor>
    <xdr:from>
      <xdr:col>4</xdr:col>
      <xdr:colOff>110477</xdr:colOff>
      <xdr:row>96</xdr:row>
      <xdr:rowOff>0</xdr:rowOff>
    </xdr:from>
    <xdr:ext cx="41275" cy="114300"/>
    <xdr:sp macro="" textlink="">
      <xdr:nvSpPr>
        <xdr:cNvPr id="3" name="Shape 911">
          <a:extLst>
            <a:ext uri="{FF2B5EF4-FFF2-40B4-BE49-F238E27FC236}">
              <a16:creationId xmlns:a16="http://schemas.microsoft.com/office/drawing/2014/main" id="{9A80D054-D3A8-455C-9F82-D7E94951D1B7}"/>
            </a:ext>
          </a:extLst>
        </xdr:cNvPr>
        <xdr:cNvSpPr/>
      </xdr:nvSpPr>
      <xdr:spPr>
        <a:xfrm>
          <a:off x="2518397" y="15925800"/>
          <a:ext cx="41275" cy="114300"/>
        </a:xfrm>
        <a:custGeom>
          <a:avLst/>
          <a:gdLst/>
          <a:ahLst/>
          <a:cxnLst/>
          <a:rect l="0" t="0" r="0" b="0"/>
          <a:pathLst>
            <a:path w="41275" h="114300">
              <a:moveTo>
                <a:pt x="6096" y="3048"/>
              </a:moveTo>
              <a:lnTo>
                <a:pt x="5334" y="1524"/>
              </a:lnTo>
              <a:lnTo>
                <a:pt x="4572" y="0"/>
              </a:lnTo>
              <a:lnTo>
                <a:pt x="4572" y="1524"/>
              </a:lnTo>
              <a:lnTo>
                <a:pt x="4572" y="6096"/>
              </a:lnTo>
              <a:lnTo>
                <a:pt x="1524" y="6096"/>
              </a:lnTo>
              <a:lnTo>
                <a:pt x="1524" y="3048"/>
              </a:lnTo>
              <a:lnTo>
                <a:pt x="3048" y="1524"/>
              </a:lnTo>
              <a:lnTo>
                <a:pt x="4572" y="1524"/>
              </a:lnTo>
              <a:lnTo>
                <a:pt x="4572" y="0"/>
              </a:lnTo>
              <a:lnTo>
                <a:pt x="3048" y="0"/>
              </a:lnTo>
              <a:lnTo>
                <a:pt x="0" y="3048"/>
              </a:lnTo>
              <a:lnTo>
                <a:pt x="0" y="6096"/>
              </a:lnTo>
              <a:lnTo>
                <a:pt x="3048" y="7620"/>
              </a:lnTo>
              <a:lnTo>
                <a:pt x="4572" y="7620"/>
              </a:lnTo>
              <a:lnTo>
                <a:pt x="6096" y="6096"/>
              </a:lnTo>
              <a:lnTo>
                <a:pt x="6096" y="3048"/>
              </a:lnTo>
              <a:close/>
            </a:path>
            <a:path w="41275" h="114300">
              <a:moveTo>
                <a:pt x="9156" y="73139"/>
              </a:moveTo>
              <a:lnTo>
                <a:pt x="8394" y="71615"/>
              </a:lnTo>
              <a:lnTo>
                <a:pt x="7632" y="70091"/>
              </a:lnTo>
              <a:lnTo>
                <a:pt x="7632" y="71615"/>
              </a:lnTo>
              <a:lnTo>
                <a:pt x="7632" y="76187"/>
              </a:lnTo>
              <a:lnTo>
                <a:pt x="4584" y="76187"/>
              </a:lnTo>
              <a:lnTo>
                <a:pt x="4584" y="73139"/>
              </a:lnTo>
              <a:lnTo>
                <a:pt x="6108" y="71615"/>
              </a:lnTo>
              <a:lnTo>
                <a:pt x="7632" y="71615"/>
              </a:lnTo>
              <a:lnTo>
                <a:pt x="7632" y="70091"/>
              </a:lnTo>
              <a:lnTo>
                <a:pt x="6108" y="70091"/>
              </a:lnTo>
              <a:lnTo>
                <a:pt x="3060" y="73139"/>
              </a:lnTo>
              <a:lnTo>
                <a:pt x="3060" y="76187"/>
              </a:lnTo>
              <a:lnTo>
                <a:pt x="6108" y="77711"/>
              </a:lnTo>
              <a:lnTo>
                <a:pt x="7632" y="77711"/>
              </a:lnTo>
              <a:lnTo>
                <a:pt x="9156" y="76187"/>
              </a:lnTo>
              <a:lnTo>
                <a:pt x="9156" y="73139"/>
              </a:lnTo>
              <a:close/>
            </a:path>
            <a:path w="41275" h="114300">
              <a:moveTo>
                <a:pt x="16764" y="42672"/>
              </a:moveTo>
              <a:lnTo>
                <a:pt x="9144" y="36576"/>
              </a:lnTo>
              <a:lnTo>
                <a:pt x="9144" y="13716"/>
              </a:lnTo>
              <a:lnTo>
                <a:pt x="12192" y="10668"/>
              </a:lnTo>
              <a:lnTo>
                <a:pt x="14808" y="7975"/>
              </a:lnTo>
              <a:lnTo>
                <a:pt x="11049" y="10668"/>
              </a:lnTo>
              <a:lnTo>
                <a:pt x="6388" y="17424"/>
              </a:lnTo>
              <a:lnTo>
                <a:pt x="4572" y="25908"/>
              </a:lnTo>
              <a:lnTo>
                <a:pt x="6388" y="33909"/>
              </a:lnTo>
              <a:lnTo>
                <a:pt x="11049" y="39624"/>
              </a:lnTo>
              <a:lnTo>
                <a:pt x="16764" y="42672"/>
              </a:lnTo>
              <a:close/>
            </a:path>
            <a:path w="41275" h="114300">
              <a:moveTo>
                <a:pt x="17437" y="6096"/>
              </a:moveTo>
              <a:lnTo>
                <a:pt x="16764" y="6096"/>
              </a:lnTo>
              <a:lnTo>
                <a:pt x="15303" y="7620"/>
              </a:lnTo>
              <a:lnTo>
                <a:pt x="17437" y="6096"/>
              </a:lnTo>
              <a:close/>
            </a:path>
            <a:path w="41275" h="114300">
              <a:moveTo>
                <a:pt x="36576" y="13716"/>
              </a:moveTo>
              <a:lnTo>
                <a:pt x="35052" y="6096"/>
              </a:lnTo>
              <a:lnTo>
                <a:pt x="32004" y="6096"/>
              </a:lnTo>
              <a:lnTo>
                <a:pt x="28956" y="4572"/>
              </a:lnTo>
              <a:lnTo>
                <a:pt x="24384" y="4572"/>
              </a:lnTo>
              <a:lnTo>
                <a:pt x="17843" y="6096"/>
              </a:lnTo>
              <a:lnTo>
                <a:pt x="30480" y="6096"/>
              </a:lnTo>
              <a:lnTo>
                <a:pt x="33528" y="7620"/>
              </a:lnTo>
              <a:lnTo>
                <a:pt x="33629" y="7975"/>
              </a:lnTo>
              <a:lnTo>
                <a:pt x="35052" y="13716"/>
              </a:lnTo>
              <a:lnTo>
                <a:pt x="36576" y="13716"/>
              </a:lnTo>
              <a:close/>
            </a:path>
            <a:path w="41275" h="114300">
              <a:moveTo>
                <a:pt x="38100" y="36576"/>
              </a:moveTo>
              <a:lnTo>
                <a:pt x="36576" y="36576"/>
              </a:lnTo>
              <a:lnTo>
                <a:pt x="33528" y="41148"/>
              </a:lnTo>
              <a:lnTo>
                <a:pt x="28956" y="42672"/>
              </a:lnTo>
              <a:lnTo>
                <a:pt x="16764" y="42672"/>
              </a:lnTo>
              <a:lnTo>
                <a:pt x="17437" y="43053"/>
              </a:lnTo>
              <a:lnTo>
                <a:pt x="24384" y="44196"/>
              </a:lnTo>
              <a:lnTo>
                <a:pt x="30480" y="44196"/>
              </a:lnTo>
              <a:lnTo>
                <a:pt x="35052" y="42672"/>
              </a:lnTo>
              <a:lnTo>
                <a:pt x="38100" y="36576"/>
              </a:lnTo>
              <a:close/>
            </a:path>
            <a:path w="41275" h="114300">
              <a:moveTo>
                <a:pt x="39636" y="83807"/>
              </a:moveTo>
              <a:lnTo>
                <a:pt x="38112" y="76187"/>
              </a:lnTo>
              <a:lnTo>
                <a:pt x="35064" y="76187"/>
              </a:lnTo>
              <a:lnTo>
                <a:pt x="32016" y="74663"/>
              </a:lnTo>
              <a:lnTo>
                <a:pt x="27444" y="74663"/>
              </a:lnTo>
              <a:lnTo>
                <a:pt x="19900" y="76187"/>
              </a:lnTo>
              <a:lnTo>
                <a:pt x="18694" y="77317"/>
              </a:lnTo>
              <a:lnTo>
                <a:pt x="20485" y="76187"/>
              </a:lnTo>
              <a:lnTo>
                <a:pt x="32016" y="76187"/>
              </a:lnTo>
              <a:lnTo>
                <a:pt x="36588" y="77711"/>
              </a:lnTo>
              <a:lnTo>
                <a:pt x="38112" y="83807"/>
              </a:lnTo>
              <a:lnTo>
                <a:pt x="39636" y="83807"/>
              </a:lnTo>
              <a:close/>
            </a:path>
            <a:path w="41275" h="114300">
              <a:moveTo>
                <a:pt x="41160" y="106667"/>
              </a:moveTo>
              <a:lnTo>
                <a:pt x="39636" y="106667"/>
              </a:lnTo>
              <a:lnTo>
                <a:pt x="36588" y="111239"/>
              </a:lnTo>
              <a:lnTo>
                <a:pt x="32016" y="112763"/>
              </a:lnTo>
              <a:lnTo>
                <a:pt x="19824" y="112763"/>
              </a:lnTo>
              <a:lnTo>
                <a:pt x="12204" y="106667"/>
              </a:lnTo>
              <a:lnTo>
                <a:pt x="12204" y="83807"/>
              </a:lnTo>
              <a:lnTo>
                <a:pt x="18694" y="77317"/>
              </a:lnTo>
              <a:lnTo>
                <a:pt x="14109" y="80187"/>
              </a:lnTo>
              <a:lnTo>
                <a:pt x="9436" y="86880"/>
              </a:lnTo>
              <a:lnTo>
                <a:pt x="7632" y="95999"/>
              </a:lnTo>
              <a:lnTo>
                <a:pt x="9220" y="104000"/>
              </a:lnTo>
              <a:lnTo>
                <a:pt x="13538" y="109715"/>
              </a:lnTo>
              <a:lnTo>
                <a:pt x="19837" y="113144"/>
              </a:lnTo>
              <a:lnTo>
                <a:pt x="27444" y="114287"/>
              </a:lnTo>
              <a:lnTo>
                <a:pt x="33540" y="114287"/>
              </a:lnTo>
              <a:lnTo>
                <a:pt x="38112" y="112763"/>
              </a:lnTo>
              <a:lnTo>
                <a:pt x="41160" y="106667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7</xdr:col>
      <xdr:colOff>77215</xdr:colOff>
      <xdr:row>96</xdr:row>
      <xdr:rowOff>0</xdr:rowOff>
    </xdr:from>
    <xdr:ext cx="38100" cy="44450"/>
    <xdr:sp macro="" textlink="">
      <xdr:nvSpPr>
        <xdr:cNvPr id="4" name="Shape 912">
          <a:extLst>
            <a:ext uri="{FF2B5EF4-FFF2-40B4-BE49-F238E27FC236}">
              <a16:creationId xmlns:a16="http://schemas.microsoft.com/office/drawing/2014/main" id="{6869A2BC-44FE-4B31-A2BB-477D05FCB8BA}"/>
            </a:ext>
          </a:extLst>
        </xdr:cNvPr>
        <xdr:cNvSpPr/>
      </xdr:nvSpPr>
      <xdr:spPr>
        <a:xfrm>
          <a:off x="4291075" y="15925800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6024"/>
              </a:lnTo>
              <a:lnTo>
                <a:pt x="0" y="3048"/>
              </a:lnTo>
              <a:lnTo>
                <a:pt x="1524" y="0"/>
              </a:lnTo>
              <a:lnTo>
                <a:pt x="4572" y="0"/>
              </a:lnTo>
              <a:lnTo>
                <a:pt x="5334" y="1524"/>
              </a:lnTo>
              <a:lnTo>
                <a:pt x="1524" y="1524"/>
              </a:lnTo>
              <a:lnTo>
                <a:pt x="1524" y="6024"/>
              </a:lnTo>
              <a:lnTo>
                <a:pt x="6167" y="6024"/>
              </a:lnTo>
              <a:lnTo>
                <a:pt x="4572" y="7620"/>
              </a:lnTo>
              <a:close/>
            </a:path>
            <a:path w="38100" h="44450">
              <a:moveTo>
                <a:pt x="6096" y="6024"/>
              </a:moveTo>
              <a:lnTo>
                <a:pt x="4572" y="6024"/>
              </a:lnTo>
              <a:lnTo>
                <a:pt x="4572" y="1524"/>
              </a:lnTo>
              <a:lnTo>
                <a:pt x="5334" y="1524"/>
              </a:lnTo>
              <a:lnTo>
                <a:pt x="6096" y="3048"/>
              </a:lnTo>
              <a:lnTo>
                <a:pt x="6096" y="6024"/>
              </a:lnTo>
              <a:close/>
            </a:path>
            <a:path w="38100" h="44450">
              <a:moveTo>
                <a:pt x="30408" y="6024"/>
              </a:moveTo>
              <a:lnTo>
                <a:pt x="16835" y="6024"/>
              </a:lnTo>
              <a:lnTo>
                <a:pt x="22860" y="4572"/>
              </a:lnTo>
              <a:lnTo>
                <a:pt x="28956" y="4572"/>
              </a:lnTo>
              <a:lnTo>
                <a:pt x="30408" y="6024"/>
              </a:lnTo>
              <a:close/>
            </a:path>
            <a:path w="38100" h="44450">
              <a:moveTo>
                <a:pt x="28956" y="44196"/>
              </a:moveTo>
              <a:lnTo>
                <a:pt x="24384" y="44196"/>
              </a:lnTo>
              <a:lnTo>
                <a:pt x="16787" y="43053"/>
              </a:lnTo>
              <a:lnTo>
                <a:pt x="10477" y="39624"/>
              </a:lnTo>
              <a:lnTo>
                <a:pt x="6167" y="33909"/>
              </a:lnTo>
              <a:lnTo>
                <a:pt x="4572" y="25908"/>
              </a:lnTo>
              <a:lnTo>
                <a:pt x="6143" y="17430"/>
              </a:lnTo>
              <a:lnTo>
                <a:pt x="10287" y="10668"/>
              </a:lnTo>
              <a:lnTo>
                <a:pt x="16362" y="6024"/>
              </a:lnTo>
              <a:lnTo>
                <a:pt x="16771" y="6024"/>
              </a:lnTo>
              <a:lnTo>
                <a:pt x="9144" y="13716"/>
              </a:lnTo>
              <a:lnTo>
                <a:pt x="9144" y="36576"/>
              </a:lnTo>
              <a:lnTo>
                <a:pt x="16764" y="42672"/>
              </a:lnTo>
              <a:lnTo>
                <a:pt x="35052" y="42672"/>
              </a:lnTo>
              <a:lnTo>
                <a:pt x="28956" y="441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28742" y="6024"/>
              </a:lnTo>
              <a:lnTo>
                <a:pt x="35037" y="6024"/>
              </a:lnTo>
              <a:lnTo>
                <a:pt x="36576" y="13716"/>
              </a:lnTo>
              <a:close/>
            </a:path>
            <a:path w="38100" h="44450">
              <a:moveTo>
                <a:pt x="35052" y="42672"/>
              </a:moveTo>
              <a:lnTo>
                <a:pt x="28956" y="42672"/>
              </a:lnTo>
              <a:lnTo>
                <a:pt x="33528" y="41148"/>
              </a:lnTo>
              <a:lnTo>
                <a:pt x="35052" y="36576"/>
              </a:lnTo>
              <a:lnTo>
                <a:pt x="38100" y="36576"/>
              </a:lnTo>
              <a:lnTo>
                <a:pt x="35052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9</xdr:col>
      <xdr:colOff>29463</xdr:colOff>
      <xdr:row>96</xdr:row>
      <xdr:rowOff>0</xdr:rowOff>
    </xdr:from>
    <xdr:ext cx="38100" cy="44450"/>
    <xdr:sp macro="" textlink="">
      <xdr:nvSpPr>
        <xdr:cNvPr id="5" name="Shape 913">
          <a:extLst>
            <a:ext uri="{FF2B5EF4-FFF2-40B4-BE49-F238E27FC236}">
              <a16:creationId xmlns:a16="http://schemas.microsoft.com/office/drawing/2014/main" id="{3F863998-DB79-405D-B779-437E1528EF2B}"/>
            </a:ext>
          </a:extLst>
        </xdr:cNvPr>
        <xdr:cNvSpPr/>
      </xdr:nvSpPr>
      <xdr:spPr>
        <a:xfrm>
          <a:off x="5447283" y="15925800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3048" y="7620"/>
              </a:lnTo>
              <a:lnTo>
                <a:pt x="0" y="6096"/>
              </a:lnTo>
              <a:lnTo>
                <a:pt x="0" y="3048"/>
              </a:lnTo>
              <a:lnTo>
                <a:pt x="3048" y="0"/>
              </a:lnTo>
              <a:lnTo>
                <a:pt x="4572" y="0"/>
              </a:lnTo>
              <a:lnTo>
                <a:pt x="5334" y="1524"/>
              </a:lnTo>
              <a:lnTo>
                <a:pt x="3048" y="1524"/>
              </a:lnTo>
              <a:lnTo>
                <a:pt x="1524" y="3048"/>
              </a:lnTo>
              <a:lnTo>
                <a:pt x="1524" y="6096"/>
              </a:lnTo>
              <a:lnTo>
                <a:pt x="6096" y="6096"/>
              </a:lnTo>
              <a:lnTo>
                <a:pt x="4572" y="7620"/>
              </a:lnTo>
              <a:close/>
            </a:path>
            <a:path w="38100" h="44450">
              <a:moveTo>
                <a:pt x="6096" y="6096"/>
              </a:moveTo>
              <a:lnTo>
                <a:pt x="4572" y="6096"/>
              </a:lnTo>
              <a:lnTo>
                <a:pt x="4572" y="1524"/>
              </a:lnTo>
              <a:lnTo>
                <a:pt x="5334" y="1524"/>
              </a:lnTo>
              <a:lnTo>
                <a:pt x="6096" y="3048"/>
              </a:lnTo>
              <a:lnTo>
                <a:pt x="6096" y="6096"/>
              </a:lnTo>
              <a:close/>
            </a:path>
            <a:path w="38100" h="44450">
              <a:moveTo>
                <a:pt x="32004" y="6096"/>
              </a:moveTo>
              <a:lnTo>
                <a:pt x="17839" y="6096"/>
              </a:lnTo>
              <a:lnTo>
                <a:pt x="24384" y="4572"/>
              </a:lnTo>
              <a:lnTo>
                <a:pt x="28956" y="4572"/>
              </a:lnTo>
              <a:lnTo>
                <a:pt x="32004" y="6096"/>
              </a:lnTo>
              <a:close/>
            </a:path>
            <a:path w="38100" h="44450">
              <a:moveTo>
                <a:pt x="15303" y="7620"/>
              </a:moveTo>
              <a:lnTo>
                <a:pt x="16764" y="6096"/>
              </a:lnTo>
              <a:lnTo>
                <a:pt x="17430" y="6096"/>
              </a:lnTo>
              <a:lnTo>
                <a:pt x="15303" y="7620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618" y="7981"/>
              </a:lnTo>
              <a:lnTo>
                <a:pt x="33528" y="7620"/>
              </a:lnTo>
              <a:lnTo>
                <a:pt x="30480" y="6096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16764" y="42672"/>
              </a:moveTo>
              <a:lnTo>
                <a:pt x="11049" y="39624"/>
              </a:lnTo>
              <a:lnTo>
                <a:pt x="6381" y="33909"/>
              </a:lnTo>
              <a:lnTo>
                <a:pt x="4572" y="25908"/>
              </a:lnTo>
              <a:lnTo>
                <a:pt x="6381" y="17430"/>
              </a:lnTo>
              <a:lnTo>
                <a:pt x="11049" y="10668"/>
              </a:lnTo>
              <a:lnTo>
                <a:pt x="14798" y="7981"/>
              </a:lnTo>
              <a:lnTo>
                <a:pt x="12192" y="10668"/>
              </a:lnTo>
              <a:lnTo>
                <a:pt x="9144" y="13716"/>
              </a:lnTo>
              <a:lnTo>
                <a:pt x="9144" y="36576"/>
              </a:lnTo>
              <a:lnTo>
                <a:pt x="16764" y="42672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7430" y="43053"/>
              </a:lnTo>
              <a:lnTo>
                <a:pt x="16721" y="42672"/>
              </a:lnTo>
              <a:lnTo>
                <a:pt x="28956" y="42672"/>
              </a:lnTo>
              <a:lnTo>
                <a:pt x="33528" y="41148"/>
              </a:lnTo>
              <a:lnTo>
                <a:pt x="36576" y="36576"/>
              </a:lnTo>
              <a:lnTo>
                <a:pt x="38100" y="36576"/>
              </a:lnTo>
              <a:lnTo>
                <a:pt x="35052" y="42672"/>
              </a:lnTo>
              <a:lnTo>
                <a:pt x="30480" y="44196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6</xdr:col>
      <xdr:colOff>92582</xdr:colOff>
      <xdr:row>96</xdr:row>
      <xdr:rowOff>0</xdr:rowOff>
    </xdr:from>
    <xdr:ext cx="36830" cy="44450"/>
    <xdr:sp macro="" textlink="">
      <xdr:nvSpPr>
        <xdr:cNvPr id="6" name="Shape 914">
          <a:extLst>
            <a:ext uri="{FF2B5EF4-FFF2-40B4-BE49-F238E27FC236}">
              <a16:creationId xmlns:a16="http://schemas.microsoft.com/office/drawing/2014/main" id="{772093A9-870D-4473-9150-9759FD6252A5}"/>
            </a:ext>
          </a:extLst>
        </xdr:cNvPr>
        <xdr:cNvSpPr/>
      </xdr:nvSpPr>
      <xdr:spPr>
        <a:xfrm>
          <a:off x="3704462" y="15925800"/>
          <a:ext cx="36830" cy="44450"/>
        </a:xfrm>
        <a:custGeom>
          <a:avLst/>
          <a:gdLst/>
          <a:ahLst/>
          <a:cxnLst/>
          <a:rect l="0" t="0" r="0" b="0"/>
          <a:pathLst>
            <a:path w="36830" h="44450">
              <a:moveTo>
                <a:pt x="3048" y="7620"/>
              </a:moveTo>
              <a:lnTo>
                <a:pt x="1524" y="7620"/>
              </a:lnTo>
              <a:lnTo>
                <a:pt x="0" y="6096"/>
              </a:lnTo>
              <a:lnTo>
                <a:pt x="0" y="3048"/>
              </a:lnTo>
              <a:lnTo>
                <a:pt x="1524" y="0"/>
              </a:lnTo>
              <a:lnTo>
                <a:pt x="3048" y="0"/>
              </a:lnTo>
              <a:lnTo>
                <a:pt x="4572" y="1524"/>
              </a:lnTo>
              <a:lnTo>
                <a:pt x="1524" y="1524"/>
              </a:lnTo>
              <a:lnTo>
                <a:pt x="1524" y="6096"/>
              </a:lnTo>
              <a:lnTo>
                <a:pt x="6096" y="6096"/>
              </a:lnTo>
              <a:lnTo>
                <a:pt x="3048" y="7620"/>
              </a:lnTo>
              <a:close/>
            </a:path>
            <a:path w="36830" h="44450">
              <a:moveTo>
                <a:pt x="6096" y="6096"/>
              </a:moveTo>
              <a:lnTo>
                <a:pt x="4572" y="6096"/>
              </a:lnTo>
              <a:lnTo>
                <a:pt x="4572" y="3048"/>
              </a:lnTo>
              <a:lnTo>
                <a:pt x="3048" y="1524"/>
              </a:lnTo>
              <a:lnTo>
                <a:pt x="4572" y="1524"/>
              </a:lnTo>
              <a:lnTo>
                <a:pt x="6096" y="3048"/>
              </a:lnTo>
              <a:lnTo>
                <a:pt x="6096" y="6096"/>
              </a:lnTo>
              <a:close/>
            </a:path>
            <a:path w="36830" h="44450">
              <a:moveTo>
                <a:pt x="30480" y="6096"/>
              </a:moveTo>
              <a:lnTo>
                <a:pt x="15575" y="6096"/>
              </a:lnTo>
              <a:lnTo>
                <a:pt x="22860" y="4572"/>
              </a:lnTo>
              <a:lnTo>
                <a:pt x="27432" y="4572"/>
              </a:lnTo>
              <a:lnTo>
                <a:pt x="30480" y="6096"/>
              </a:lnTo>
              <a:close/>
            </a:path>
            <a:path w="36830" h="44450">
              <a:moveTo>
                <a:pt x="14413" y="7278"/>
              </a:moveTo>
              <a:lnTo>
                <a:pt x="15240" y="6096"/>
              </a:lnTo>
              <a:lnTo>
                <a:pt x="16144" y="6096"/>
              </a:lnTo>
              <a:lnTo>
                <a:pt x="14413" y="7278"/>
              </a:lnTo>
              <a:close/>
            </a:path>
            <a:path w="36830" h="44450">
              <a:moveTo>
                <a:pt x="35052" y="13716"/>
              </a:moveTo>
              <a:lnTo>
                <a:pt x="33528" y="13716"/>
              </a:lnTo>
              <a:lnTo>
                <a:pt x="32004" y="7620"/>
              </a:lnTo>
              <a:lnTo>
                <a:pt x="28956" y="6096"/>
              </a:lnTo>
              <a:lnTo>
                <a:pt x="35052" y="6096"/>
              </a:lnTo>
              <a:lnTo>
                <a:pt x="35052" y="13716"/>
              </a:lnTo>
              <a:close/>
            </a:path>
            <a:path w="36830" h="44450">
              <a:moveTo>
                <a:pt x="14881" y="42313"/>
              </a:moveTo>
              <a:lnTo>
                <a:pt x="10287" y="39624"/>
              </a:lnTo>
              <a:lnTo>
                <a:pt x="6143" y="33909"/>
              </a:lnTo>
              <a:lnTo>
                <a:pt x="4572" y="25908"/>
              </a:lnTo>
              <a:lnTo>
                <a:pt x="6143" y="16787"/>
              </a:lnTo>
              <a:lnTo>
                <a:pt x="10287" y="10096"/>
              </a:lnTo>
              <a:lnTo>
                <a:pt x="13913" y="7620"/>
              </a:lnTo>
              <a:lnTo>
                <a:pt x="12039" y="10096"/>
              </a:lnTo>
              <a:lnTo>
                <a:pt x="9144" y="13716"/>
              </a:lnTo>
              <a:lnTo>
                <a:pt x="9144" y="36576"/>
              </a:lnTo>
              <a:lnTo>
                <a:pt x="14881" y="42313"/>
              </a:lnTo>
              <a:close/>
            </a:path>
            <a:path w="36830" h="44450">
              <a:moveTo>
                <a:pt x="28956" y="44196"/>
              </a:moveTo>
              <a:lnTo>
                <a:pt x="22860" y="44196"/>
              </a:lnTo>
              <a:lnTo>
                <a:pt x="16144" y="43053"/>
              </a:lnTo>
              <a:lnTo>
                <a:pt x="15494" y="42672"/>
              </a:lnTo>
              <a:lnTo>
                <a:pt x="27432" y="42672"/>
              </a:lnTo>
              <a:lnTo>
                <a:pt x="32004" y="41148"/>
              </a:lnTo>
              <a:lnTo>
                <a:pt x="35052" y="36576"/>
              </a:lnTo>
              <a:lnTo>
                <a:pt x="36576" y="36576"/>
              </a:lnTo>
              <a:lnTo>
                <a:pt x="33528" y="42672"/>
              </a:lnTo>
              <a:lnTo>
                <a:pt x="28956" y="44196"/>
              </a:lnTo>
              <a:close/>
            </a:path>
            <a:path w="36830" h="44450">
              <a:moveTo>
                <a:pt x="15494" y="42672"/>
              </a:moveTo>
              <a:lnTo>
                <a:pt x="15240" y="42672"/>
              </a:lnTo>
              <a:lnTo>
                <a:pt x="14881" y="42313"/>
              </a:lnTo>
              <a:lnTo>
                <a:pt x="15494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11</xdr:row>
      <xdr:rowOff>0</xdr:rowOff>
    </xdr:from>
    <xdr:ext cx="41275" cy="114300"/>
    <xdr:sp macro="" textlink="">
      <xdr:nvSpPr>
        <xdr:cNvPr id="7" name="Shape 916">
          <a:extLst>
            <a:ext uri="{FF2B5EF4-FFF2-40B4-BE49-F238E27FC236}">
              <a16:creationId xmlns:a16="http://schemas.microsoft.com/office/drawing/2014/main" id="{784C0332-2B25-45A1-8C8D-5388F52CFA2C}"/>
            </a:ext>
          </a:extLst>
        </xdr:cNvPr>
        <xdr:cNvSpPr/>
      </xdr:nvSpPr>
      <xdr:spPr>
        <a:xfrm>
          <a:off x="8427720" y="1844040"/>
          <a:ext cx="41275" cy="114300"/>
        </a:xfrm>
        <a:custGeom>
          <a:avLst/>
          <a:gdLst/>
          <a:ahLst/>
          <a:cxnLst/>
          <a:rect l="0" t="0" r="0" b="0"/>
          <a:pathLst>
            <a:path w="41275" h="114300">
              <a:moveTo>
                <a:pt x="6096" y="1524"/>
              </a:moveTo>
              <a:lnTo>
                <a:pt x="4572" y="762"/>
              </a:lnTo>
              <a:lnTo>
                <a:pt x="4572" y="3048"/>
              </a:lnTo>
              <a:lnTo>
                <a:pt x="4572" y="4572"/>
              </a:lnTo>
              <a:lnTo>
                <a:pt x="3048" y="6096"/>
              </a:lnTo>
              <a:lnTo>
                <a:pt x="1524" y="6096"/>
              </a:lnTo>
              <a:lnTo>
                <a:pt x="1524" y="1524"/>
              </a:lnTo>
              <a:lnTo>
                <a:pt x="3048" y="1524"/>
              </a:lnTo>
              <a:lnTo>
                <a:pt x="4572" y="3048"/>
              </a:lnTo>
              <a:lnTo>
                <a:pt x="4572" y="762"/>
              </a:lnTo>
              <a:lnTo>
                <a:pt x="3048" y="0"/>
              </a:lnTo>
              <a:lnTo>
                <a:pt x="1524" y="0"/>
              </a:lnTo>
              <a:lnTo>
                <a:pt x="0" y="1524"/>
              </a:lnTo>
              <a:lnTo>
                <a:pt x="0" y="4572"/>
              </a:lnTo>
              <a:lnTo>
                <a:pt x="1485" y="7543"/>
              </a:lnTo>
              <a:lnTo>
                <a:pt x="4622" y="7543"/>
              </a:lnTo>
              <a:lnTo>
                <a:pt x="5334" y="6096"/>
              </a:lnTo>
              <a:lnTo>
                <a:pt x="5410" y="5956"/>
              </a:lnTo>
              <a:lnTo>
                <a:pt x="6096" y="4572"/>
              </a:lnTo>
              <a:lnTo>
                <a:pt x="6096" y="1524"/>
              </a:lnTo>
              <a:close/>
            </a:path>
            <a:path w="41275" h="114300">
              <a:moveTo>
                <a:pt x="9156" y="71628"/>
              </a:moveTo>
              <a:lnTo>
                <a:pt x="7632" y="70866"/>
              </a:lnTo>
              <a:lnTo>
                <a:pt x="7632" y="71628"/>
              </a:lnTo>
              <a:lnTo>
                <a:pt x="7632" y="74676"/>
              </a:lnTo>
              <a:lnTo>
                <a:pt x="6108" y="76200"/>
              </a:lnTo>
              <a:lnTo>
                <a:pt x="4584" y="76200"/>
              </a:lnTo>
              <a:lnTo>
                <a:pt x="4584" y="71628"/>
              </a:lnTo>
              <a:lnTo>
                <a:pt x="7632" y="71628"/>
              </a:lnTo>
              <a:lnTo>
                <a:pt x="7632" y="70866"/>
              </a:lnTo>
              <a:lnTo>
                <a:pt x="6108" y="70104"/>
              </a:lnTo>
              <a:lnTo>
                <a:pt x="4584" y="70104"/>
              </a:lnTo>
              <a:lnTo>
                <a:pt x="3060" y="71628"/>
              </a:lnTo>
              <a:lnTo>
                <a:pt x="3060" y="74676"/>
              </a:lnTo>
              <a:lnTo>
                <a:pt x="4533" y="77647"/>
              </a:lnTo>
              <a:lnTo>
                <a:pt x="6184" y="77647"/>
              </a:lnTo>
              <a:lnTo>
                <a:pt x="7632" y="76200"/>
              </a:lnTo>
              <a:lnTo>
                <a:pt x="9156" y="74676"/>
              </a:lnTo>
              <a:lnTo>
                <a:pt x="9156" y="71628"/>
              </a:lnTo>
              <a:close/>
            </a:path>
            <a:path w="41275" h="114300">
              <a:moveTo>
                <a:pt x="15938" y="6096"/>
              </a:moveTo>
              <a:lnTo>
                <a:pt x="15240" y="6096"/>
              </a:lnTo>
              <a:lnTo>
                <a:pt x="13804" y="7543"/>
              </a:lnTo>
              <a:lnTo>
                <a:pt x="15938" y="6096"/>
              </a:lnTo>
              <a:close/>
            </a:path>
            <a:path w="41275" h="114300">
              <a:moveTo>
                <a:pt x="17475" y="111760"/>
              </a:moveTo>
              <a:lnTo>
                <a:pt x="12204" y="105156"/>
              </a:lnTo>
              <a:lnTo>
                <a:pt x="12204" y="82296"/>
              </a:lnTo>
              <a:lnTo>
                <a:pt x="16852" y="77647"/>
              </a:lnTo>
              <a:lnTo>
                <a:pt x="13347" y="80010"/>
              </a:lnTo>
              <a:lnTo>
                <a:pt x="9194" y="86258"/>
              </a:lnTo>
              <a:lnTo>
                <a:pt x="7632" y="94488"/>
              </a:lnTo>
              <a:lnTo>
                <a:pt x="9194" y="102730"/>
              </a:lnTo>
              <a:lnTo>
                <a:pt x="13347" y="108966"/>
              </a:lnTo>
              <a:lnTo>
                <a:pt x="17475" y="111760"/>
              </a:lnTo>
              <a:close/>
            </a:path>
            <a:path w="41275" h="114300">
              <a:moveTo>
                <a:pt x="18986" y="112776"/>
              </a:moveTo>
              <a:lnTo>
                <a:pt x="17475" y="111760"/>
              </a:lnTo>
              <a:lnTo>
                <a:pt x="18300" y="112776"/>
              </a:lnTo>
              <a:lnTo>
                <a:pt x="18986" y="112776"/>
              </a:lnTo>
              <a:close/>
            </a:path>
            <a:path w="41275" h="114300">
              <a:moveTo>
                <a:pt x="18986" y="76200"/>
              </a:moveTo>
              <a:lnTo>
                <a:pt x="18300" y="76200"/>
              </a:lnTo>
              <a:lnTo>
                <a:pt x="16852" y="77647"/>
              </a:lnTo>
              <a:lnTo>
                <a:pt x="18986" y="76200"/>
              </a:lnTo>
              <a:close/>
            </a:path>
            <a:path w="41275" h="114300">
              <a:moveTo>
                <a:pt x="36576" y="13716"/>
              </a:moveTo>
              <a:lnTo>
                <a:pt x="35052" y="6096"/>
              </a:lnTo>
              <a:lnTo>
                <a:pt x="30480" y="4572"/>
              </a:lnTo>
              <a:lnTo>
                <a:pt x="22860" y="4572"/>
              </a:lnTo>
              <a:lnTo>
                <a:pt x="16154" y="5956"/>
              </a:lnTo>
              <a:lnTo>
                <a:pt x="15938" y="6096"/>
              </a:lnTo>
              <a:lnTo>
                <a:pt x="28956" y="6096"/>
              </a:lnTo>
              <a:lnTo>
                <a:pt x="31838" y="7543"/>
              </a:lnTo>
              <a:lnTo>
                <a:pt x="31965" y="7543"/>
              </a:lnTo>
              <a:lnTo>
                <a:pt x="35052" y="13716"/>
              </a:lnTo>
              <a:lnTo>
                <a:pt x="36576" y="13716"/>
              </a:lnTo>
              <a:close/>
            </a:path>
            <a:path w="41275" h="114300">
              <a:moveTo>
                <a:pt x="38100" y="36576"/>
              </a:moveTo>
              <a:lnTo>
                <a:pt x="35052" y="35052"/>
              </a:lnTo>
              <a:lnTo>
                <a:pt x="32004" y="39624"/>
              </a:lnTo>
              <a:lnTo>
                <a:pt x="28956" y="42672"/>
              </a:lnTo>
              <a:lnTo>
                <a:pt x="16764" y="42672"/>
              </a:lnTo>
              <a:lnTo>
                <a:pt x="9144" y="35052"/>
              </a:lnTo>
              <a:lnTo>
                <a:pt x="9144" y="12192"/>
              </a:lnTo>
              <a:lnTo>
                <a:pt x="13804" y="7543"/>
              </a:lnTo>
              <a:lnTo>
                <a:pt x="10287" y="9906"/>
              </a:lnTo>
              <a:lnTo>
                <a:pt x="6146" y="16154"/>
              </a:lnTo>
              <a:lnTo>
                <a:pt x="4572" y="24384"/>
              </a:lnTo>
              <a:lnTo>
                <a:pt x="6146" y="32626"/>
              </a:lnTo>
              <a:lnTo>
                <a:pt x="10287" y="38862"/>
              </a:lnTo>
              <a:lnTo>
                <a:pt x="16154" y="42824"/>
              </a:lnTo>
              <a:lnTo>
                <a:pt x="22860" y="44196"/>
              </a:lnTo>
              <a:lnTo>
                <a:pt x="28956" y="44196"/>
              </a:lnTo>
              <a:lnTo>
                <a:pt x="31242" y="42672"/>
              </a:lnTo>
              <a:lnTo>
                <a:pt x="33528" y="41148"/>
              </a:lnTo>
              <a:lnTo>
                <a:pt x="38100" y="36576"/>
              </a:lnTo>
              <a:close/>
            </a:path>
            <a:path w="41275" h="114300">
              <a:moveTo>
                <a:pt x="39636" y="83820"/>
              </a:moveTo>
              <a:lnTo>
                <a:pt x="38112" y="76200"/>
              </a:lnTo>
              <a:lnTo>
                <a:pt x="33540" y="74676"/>
              </a:lnTo>
              <a:lnTo>
                <a:pt x="25920" y="74676"/>
              </a:lnTo>
              <a:lnTo>
                <a:pt x="19202" y="76060"/>
              </a:lnTo>
              <a:lnTo>
                <a:pt x="18986" y="76200"/>
              </a:lnTo>
              <a:lnTo>
                <a:pt x="32016" y="76200"/>
              </a:lnTo>
              <a:lnTo>
                <a:pt x="34886" y="77647"/>
              </a:lnTo>
              <a:lnTo>
                <a:pt x="35013" y="77647"/>
              </a:lnTo>
              <a:lnTo>
                <a:pt x="38112" y="83820"/>
              </a:lnTo>
              <a:lnTo>
                <a:pt x="39636" y="83820"/>
              </a:lnTo>
              <a:close/>
            </a:path>
            <a:path w="41275" h="114300">
              <a:moveTo>
                <a:pt x="41160" y="106680"/>
              </a:moveTo>
              <a:lnTo>
                <a:pt x="38112" y="105156"/>
              </a:lnTo>
              <a:lnTo>
                <a:pt x="35064" y="109728"/>
              </a:lnTo>
              <a:lnTo>
                <a:pt x="32016" y="112776"/>
              </a:lnTo>
              <a:lnTo>
                <a:pt x="18986" y="112776"/>
              </a:lnTo>
              <a:lnTo>
                <a:pt x="19202" y="112928"/>
              </a:lnTo>
              <a:lnTo>
                <a:pt x="25920" y="114300"/>
              </a:lnTo>
              <a:lnTo>
                <a:pt x="32016" y="114300"/>
              </a:lnTo>
              <a:lnTo>
                <a:pt x="36588" y="111252"/>
              </a:lnTo>
              <a:lnTo>
                <a:pt x="41160" y="106680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11</xdr:row>
      <xdr:rowOff>0</xdr:rowOff>
    </xdr:from>
    <xdr:ext cx="38100" cy="44450"/>
    <xdr:sp macro="" textlink="">
      <xdr:nvSpPr>
        <xdr:cNvPr id="8" name="Shape 917">
          <a:extLst>
            <a:ext uri="{FF2B5EF4-FFF2-40B4-BE49-F238E27FC236}">
              <a16:creationId xmlns:a16="http://schemas.microsoft.com/office/drawing/2014/main" id="{D71F6B24-F24B-493C-AEB1-CF082E99E8E2}"/>
            </a:ext>
          </a:extLst>
        </xdr:cNvPr>
        <xdr:cNvSpPr/>
      </xdr:nvSpPr>
      <xdr:spPr>
        <a:xfrm>
          <a:off x="8427720" y="1844040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3048" y="7620"/>
              </a:lnTo>
              <a:lnTo>
                <a:pt x="0" y="4572"/>
              </a:lnTo>
              <a:lnTo>
                <a:pt x="0" y="1524"/>
              </a:lnTo>
              <a:lnTo>
                <a:pt x="3048" y="0"/>
              </a:lnTo>
              <a:lnTo>
                <a:pt x="4572" y="0"/>
              </a:lnTo>
              <a:lnTo>
                <a:pt x="6096" y="1524"/>
              </a:lnTo>
              <a:lnTo>
                <a:pt x="3048" y="1524"/>
              </a:lnTo>
              <a:lnTo>
                <a:pt x="1524" y="3048"/>
              </a:lnTo>
              <a:lnTo>
                <a:pt x="1524" y="4572"/>
              </a:lnTo>
              <a:lnTo>
                <a:pt x="3048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30480" y="6096"/>
              </a:lnTo>
              <a:lnTo>
                <a:pt x="17200" y="6096"/>
              </a:lnTo>
              <a:lnTo>
                <a:pt x="17430" y="5953"/>
              </a:lnTo>
              <a:lnTo>
                <a:pt x="24384" y="4572"/>
              </a:lnTo>
              <a:lnTo>
                <a:pt x="32004" y="4572"/>
              </a:lnTo>
              <a:lnTo>
                <a:pt x="36576" y="6096"/>
              </a:lnTo>
              <a:lnTo>
                <a:pt x="36576" y="13716"/>
              </a:lnTo>
              <a:close/>
            </a:path>
            <a:path w="38100" h="44450">
              <a:moveTo>
                <a:pt x="15268" y="7292"/>
              </a:moveTo>
              <a:lnTo>
                <a:pt x="16764" y="6096"/>
              </a:lnTo>
              <a:lnTo>
                <a:pt x="17200" y="6096"/>
              </a:lnTo>
              <a:lnTo>
                <a:pt x="15268" y="7292"/>
              </a:lnTo>
              <a:close/>
            </a:path>
            <a:path w="38100" h="44450">
              <a:moveTo>
                <a:pt x="9629" y="11803"/>
              </a:moveTo>
              <a:lnTo>
                <a:pt x="11049" y="9906"/>
              </a:lnTo>
              <a:lnTo>
                <a:pt x="14739" y="7620"/>
              </a:lnTo>
              <a:lnTo>
                <a:pt x="12001" y="9906"/>
              </a:lnTo>
              <a:lnTo>
                <a:pt x="9629" y="11803"/>
              </a:lnTo>
              <a:close/>
            </a:path>
            <a:path w="38100" h="44450">
              <a:moveTo>
                <a:pt x="9144" y="12452"/>
              </a:moveTo>
              <a:lnTo>
                <a:pt x="9144" y="12192"/>
              </a:lnTo>
              <a:lnTo>
                <a:pt x="9629" y="11803"/>
              </a:lnTo>
              <a:lnTo>
                <a:pt x="9144" y="12452"/>
              </a:lnTo>
              <a:close/>
            </a:path>
            <a:path w="38100" h="44450">
              <a:moveTo>
                <a:pt x="16054" y="41962"/>
              </a:moveTo>
              <a:lnTo>
                <a:pt x="11049" y="38862"/>
              </a:lnTo>
              <a:lnTo>
                <a:pt x="6381" y="32623"/>
              </a:lnTo>
              <a:lnTo>
                <a:pt x="4572" y="24384"/>
              </a:lnTo>
              <a:lnTo>
                <a:pt x="6381" y="16144"/>
              </a:lnTo>
              <a:lnTo>
                <a:pt x="9144" y="12452"/>
              </a:lnTo>
              <a:lnTo>
                <a:pt x="9144" y="35052"/>
              </a:lnTo>
              <a:lnTo>
                <a:pt x="16054" y="41962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7430" y="42814"/>
              </a:lnTo>
              <a:lnTo>
                <a:pt x="17200" y="42672"/>
              </a:lnTo>
              <a:lnTo>
                <a:pt x="28956" y="42672"/>
              </a:lnTo>
              <a:lnTo>
                <a:pt x="33528" y="39624"/>
              </a:lnTo>
              <a:lnTo>
                <a:pt x="36576" y="35052"/>
              </a:lnTo>
              <a:lnTo>
                <a:pt x="38100" y="36576"/>
              </a:lnTo>
              <a:lnTo>
                <a:pt x="35052" y="41148"/>
              </a:lnTo>
              <a:lnTo>
                <a:pt x="30480" y="44196"/>
              </a:lnTo>
              <a:close/>
            </a:path>
            <a:path w="38100" h="44450">
              <a:moveTo>
                <a:pt x="17200" y="42672"/>
              </a:moveTo>
              <a:lnTo>
                <a:pt x="16764" y="42672"/>
              </a:lnTo>
              <a:lnTo>
                <a:pt x="16054" y="41962"/>
              </a:lnTo>
              <a:lnTo>
                <a:pt x="17200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11</xdr:row>
      <xdr:rowOff>0</xdr:rowOff>
    </xdr:from>
    <xdr:ext cx="38100" cy="44450"/>
    <xdr:sp macro="" textlink="">
      <xdr:nvSpPr>
        <xdr:cNvPr id="9" name="Shape 918">
          <a:extLst>
            <a:ext uri="{FF2B5EF4-FFF2-40B4-BE49-F238E27FC236}">
              <a16:creationId xmlns:a16="http://schemas.microsoft.com/office/drawing/2014/main" id="{93A5938D-CB96-44CC-9010-C1597B885D3B}"/>
            </a:ext>
          </a:extLst>
        </xdr:cNvPr>
        <xdr:cNvSpPr/>
      </xdr:nvSpPr>
      <xdr:spPr>
        <a:xfrm>
          <a:off x="8427720" y="1844040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4572" y="0"/>
              </a:lnTo>
              <a:lnTo>
                <a:pt x="6096" y="1524"/>
              </a:lnTo>
              <a:lnTo>
                <a:pt x="3048" y="1524"/>
              </a:lnTo>
              <a:lnTo>
                <a:pt x="1524" y="3048"/>
              </a:lnTo>
              <a:lnTo>
                <a:pt x="1524" y="4572"/>
              </a:lnTo>
              <a:lnTo>
                <a:pt x="3048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28956" y="6096"/>
              </a:lnTo>
              <a:lnTo>
                <a:pt x="17200" y="6096"/>
              </a:lnTo>
              <a:lnTo>
                <a:pt x="17430" y="5953"/>
              </a:lnTo>
              <a:lnTo>
                <a:pt x="24384" y="4572"/>
              </a:lnTo>
              <a:lnTo>
                <a:pt x="32004" y="4572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15268" y="7292"/>
              </a:moveTo>
              <a:lnTo>
                <a:pt x="16764" y="6096"/>
              </a:lnTo>
              <a:lnTo>
                <a:pt x="17200" y="6096"/>
              </a:lnTo>
              <a:lnTo>
                <a:pt x="15268" y="7292"/>
              </a:lnTo>
              <a:close/>
            </a:path>
            <a:path w="38100" h="44450">
              <a:moveTo>
                <a:pt x="9629" y="11803"/>
              </a:moveTo>
              <a:lnTo>
                <a:pt x="11049" y="9906"/>
              </a:lnTo>
              <a:lnTo>
                <a:pt x="14739" y="7620"/>
              </a:lnTo>
              <a:lnTo>
                <a:pt x="12001" y="9906"/>
              </a:lnTo>
              <a:lnTo>
                <a:pt x="9629" y="11803"/>
              </a:lnTo>
              <a:close/>
            </a:path>
            <a:path w="38100" h="44450">
              <a:moveTo>
                <a:pt x="9144" y="12452"/>
              </a:moveTo>
              <a:lnTo>
                <a:pt x="9144" y="12192"/>
              </a:lnTo>
              <a:lnTo>
                <a:pt x="9629" y="11803"/>
              </a:lnTo>
              <a:lnTo>
                <a:pt x="9144" y="12452"/>
              </a:lnTo>
              <a:close/>
            </a:path>
            <a:path w="38100" h="44450">
              <a:moveTo>
                <a:pt x="16947" y="42914"/>
              </a:moveTo>
              <a:lnTo>
                <a:pt x="10477" y="38862"/>
              </a:lnTo>
              <a:lnTo>
                <a:pt x="6167" y="32623"/>
              </a:lnTo>
              <a:lnTo>
                <a:pt x="4572" y="24384"/>
              </a:lnTo>
              <a:lnTo>
                <a:pt x="6381" y="16144"/>
              </a:lnTo>
              <a:lnTo>
                <a:pt x="9144" y="12452"/>
              </a:lnTo>
              <a:lnTo>
                <a:pt x="9144" y="35052"/>
              </a:lnTo>
              <a:lnTo>
                <a:pt x="16947" y="42914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6002" y="42672"/>
              </a:lnTo>
              <a:lnTo>
                <a:pt x="28956" y="42672"/>
              </a:lnTo>
              <a:lnTo>
                <a:pt x="33528" y="39624"/>
              </a:lnTo>
              <a:lnTo>
                <a:pt x="36576" y="35052"/>
              </a:lnTo>
              <a:lnTo>
                <a:pt x="38100" y="36576"/>
              </a:lnTo>
              <a:lnTo>
                <a:pt x="35052" y="41148"/>
              </a:lnTo>
              <a:lnTo>
                <a:pt x="30480" y="44196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11</xdr:row>
      <xdr:rowOff>0</xdr:rowOff>
    </xdr:from>
    <xdr:ext cx="36830" cy="44450"/>
    <xdr:sp macro="" textlink="">
      <xdr:nvSpPr>
        <xdr:cNvPr id="10" name="Shape 919">
          <a:extLst>
            <a:ext uri="{FF2B5EF4-FFF2-40B4-BE49-F238E27FC236}">
              <a16:creationId xmlns:a16="http://schemas.microsoft.com/office/drawing/2014/main" id="{EB1AEEEA-5F64-4E35-AE51-626D5D57B7CB}"/>
            </a:ext>
          </a:extLst>
        </xdr:cNvPr>
        <xdr:cNvSpPr/>
      </xdr:nvSpPr>
      <xdr:spPr>
        <a:xfrm>
          <a:off x="8427720" y="1844040"/>
          <a:ext cx="36830" cy="44450"/>
        </a:xfrm>
        <a:custGeom>
          <a:avLst/>
          <a:gdLst/>
          <a:ahLst/>
          <a:cxnLst/>
          <a:rect l="0" t="0" r="0" b="0"/>
          <a:pathLst>
            <a:path w="36830" h="44450">
              <a:moveTo>
                <a:pt x="3133" y="7534"/>
              </a:moveTo>
              <a:lnTo>
                <a:pt x="1481" y="7534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3048" y="0"/>
              </a:lnTo>
              <a:lnTo>
                <a:pt x="6096" y="1524"/>
              </a:lnTo>
              <a:lnTo>
                <a:pt x="1524" y="1524"/>
              </a:lnTo>
              <a:lnTo>
                <a:pt x="1524" y="6096"/>
              </a:lnTo>
              <a:lnTo>
                <a:pt x="4572" y="6096"/>
              </a:lnTo>
              <a:lnTo>
                <a:pt x="3133" y="7534"/>
              </a:lnTo>
              <a:close/>
            </a:path>
            <a:path w="36830" h="44450">
              <a:moveTo>
                <a:pt x="4572" y="6096"/>
              </a:moveTo>
              <a:lnTo>
                <a:pt x="3048" y="6096"/>
              </a:lnTo>
              <a:lnTo>
                <a:pt x="4572" y="4572"/>
              </a:lnTo>
              <a:lnTo>
                <a:pt x="4572" y="3048"/>
              </a:lnTo>
              <a:lnTo>
                <a:pt x="3048" y="1524"/>
              </a:lnTo>
              <a:lnTo>
                <a:pt x="6096" y="1524"/>
              </a:lnTo>
              <a:lnTo>
                <a:pt x="6096" y="4572"/>
              </a:lnTo>
              <a:lnTo>
                <a:pt x="4572" y="6096"/>
              </a:lnTo>
              <a:close/>
            </a:path>
            <a:path w="36830" h="44450">
              <a:moveTo>
                <a:pt x="35052" y="13716"/>
              </a:moveTo>
              <a:lnTo>
                <a:pt x="31961" y="7534"/>
              </a:lnTo>
              <a:lnTo>
                <a:pt x="31832" y="7534"/>
              </a:lnTo>
              <a:lnTo>
                <a:pt x="28956" y="6096"/>
              </a:lnTo>
              <a:lnTo>
                <a:pt x="15933" y="6096"/>
              </a:lnTo>
              <a:lnTo>
                <a:pt x="16144" y="5953"/>
              </a:lnTo>
              <a:lnTo>
                <a:pt x="22860" y="4572"/>
              </a:lnTo>
              <a:lnTo>
                <a:pt x="30480" y="4572"/>
              </a:lnTo>
              <a:lnTo>
                <a:pt x="35052" y="6096"/>
              </a:lnTo>
              <a:lnTo>
                <a:pt x="35052" y="13716"/>
              </a:lnTo>
              <a:close/>
            </a:path>
            <a:path w="36830" h="44450">
              <a:moveTo>
                <a:pt x="13801" y="7534"/>
              </a:moveTo>
              <a:lnTo>
                <a:pt x="15240" y="6096"/>
              </a:lnTo>
              <a:lnTo>
                <a:pt x="15933" y="6096"/>
              </a:lnTo>
              <a:lnTo>
                <a:pt x="13801" y="7534"/>
              </a:lnTo>
              <a:close/>
            </a:path>
            <a:path w="36830" h="44450">
              <a:moveTo>
                <a:pt x="14426" y="41655"/>
              </a:moveTo>
              <a:lnTo>
                <a:pt x="10287" y="38862"/>
              </a:lnTo>
              <a:lnTo>
                <a:pt x="6143" y="32623"/>
              </a:lnTo>
              <a:lnTo>
                <a:pt x="4572" y="24384"/>
              </a:lnTo>
              <a:lnTo>
                <a:pt x="6143" y="16144"/>
              </a:lnTo>
              <a:lnTo>
                <a:pt x="10287" y="9906"/>
              </a:lnTo>
              <a:lnTo>
                <a:pt x="13801" y="7534"/>
              </a:lnTo>
              <a:lnTo>
                <a:pt x="9144" y="12192"/>
              </a:lnTo>
              <a:lnTo>
                <a:pt x="9144" y="35052"/>
              </a:lnTo>
              <a:lnTo>
                <a:pt x="14426" y="41655"/>
              </a:lnTo>
              <a:close/>
            </a:path>
            <a:path w="36830" h="44450">
              <a:moveTo>
                <a:pt x="28956" y="44196"/>
              </a:moveTo>
              <a:lnTo>
                <a:pt x="22860" y="44196"/>
              </a:lnTo>
              <a:lnTo>
                <a:pt x="16144" y="42814"/>
              </a:lnTo>
              <a:lnTo>
                <a:pt x="15933" y="42672"/>
              </a:lnTo>
              <a:lnTo>
                <a:pt x="27432" y="42672"/>
              </a:lnTo>
              <a:lnTo>
                <a:pt x="32004" y="39624"/>
              </a:lnTo>
              <a:lnTo>
                <a:pt x="35052" y="35052"/>
              </a:lnTo>
              <a:lnTo>
                <a:pt x="36576" y="36576"/>
              </a:lnTo>
              <a:lnTo>
                <a:pt x="33528" y="41148"/>
              </a:lnTo>
              <a:lnTo>
                <a:pt x="28956" y="44196"/>
              </a:lnTo>
              <a:close/>
            </a:path>
            <a:path w="36830" h="44450">
              <a:moveTo>
                <a:pt x="15933" y="42672"/>
              </a:moveTo>
              <a:lnTo>
                <a:pt x="15240" y="42672"/>
              </a:lnTo>
              <a:lnTo>
                <a:pt x="14426" y="41655"/>
              </a:lnTo>
              <a:lnTo>
                <a:pt x="15933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11</xdr:row>
      <xdr:rowOff>0</xdr:rowOff>
    </xdr:from>
    <xdr:ext cx="38100" cy="44450"/>
    <xdr:sp macro="" textlink="">
      <xdr:nvSpPr>
        <xdr:cNvPr id="11" name="Shape 920">
          <a:extLst>
            <a:ext uri="{FF2B5EF4-FFF2-40B4-BE49-F238E27FC236}">
              <a16:creationId xmlns:a16="http://schemas.microsoft.com/office/drawing/2014/main" id="{A01FF71E-01F9-48BA-977A-672C41198E64}"/>
            </a:ext>
          </a:extLst>
        </xdr:cNvPr>
        <xdr:cNvSpPr/>
      </xdr:nvSpPr>
      <xdr:spPr>
        <a:xfrm>
          <a:off x="8427720" y="1844040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4572" y="0"/>
              </a:lnTo>
              <a:lnTo>
                <a:pt x="6096" y="1524"/>
              </a:lnTo>
              <a:lnTo>
                <a:pt x="1524" y="1524"/>
              </a:lnTo>
              <a:lnTo>
                <a:pt x="1524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28956" y="44196"/>
              </a:moveTo>
              <a:lnTo>
                <a:pt x="22860" y="44196"/>
              </a:lnTo>
              <a:lnTo>
                <a:pt x="16144" y="42814"/>
              </a:lnTo>
              <a:lnTo>
                <a:pt x="10287" y="38862"/>
              </a:lnTo>
              <a:lnTo>
                <a:pt x="6143" y="32623"/>
              </a:lnTo>
              <a:lnTo>
                <a:pt x="4572" y="24384"/>
              </a:lnTo>
              <a:lnTo>
                <a:pt x="6143" y="16144"/>
              </a:lnTo>
              <a:lnTo>
                <a:pt x="10287" y="9906"/>
              </a:lnTo>
              <a:lnTo>
                <a:pt x="16144" y="5953"/>
              </a:lnTo>
              <a:lnTo>
                <a:pt x="22860" y="4572"/>
              </a:lnTo>
              <a:lnTo>
                <a:pt x="30480" y="4572"/>
              </a:lnTo>
              <a:lnTo>
                <a:pt x="35052" y="6096"/>
              </a:lnTo>
              <a:lnTo>
                <a:pt x="16764" y="6096"/>
              </a:lnTo>
              <a:lnTo>
                <a:pt x="9144" y="12192"/>
              </a:lnTo>
              <a:lnTo>
                <a:pt x="9144" y="35052"/>
              </a:lnTo>
              <a:lnTo>
                <a:pt x="16764" y="42672"/>
              </a:lnTo>
              <a:lnTo>
                <a:pt x="31242" y="42672"/>
              </a:lnTo>
              <a:lnTo>
                <a:pt x="28956" y="441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2004" y="7620"/>
              </a:lnTo>
              <a:lnTo>
                <a:pt x="28956" y="6096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31242" y="42672"/>
              </a:moveTo>
              <a:lnTo>
                <a:pt x="28956" y="42672"/>
              </a:lnTo>
              <a:lnTo>
                <a:pt x="33528" y="39624"/>
              </a:lnTo>
              <a:lnTo>
                <a:pt x="35052" y="35052"/>
              </a:lnTo>
              <a:lnTo>
                <a:pt x="38100" y="36576"/>
              </a:lnTo>
              <a:lnTo>
                <a:pt x="33528" y="41148"/>
              </a:lnTo>
              <a:lnTo>
                <a:pt x="31242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55</xdr:row>
      <xdr:rowOff>0</xdr:rowOff>
    </xdr:from>
    <xdr:ext cx="41275" cy="114300"/>
    <xdr:sp macro="" textlink="">
      <xdr:nvSpPr>
        <xdr:cNvPr id="12" name="Shape 916">
          <a:extLst>
            <a:ext uri="{FF2B5EF4-FFF2-40B4-BE49-F238E27FC236}">
              <a16:creationId xmlns:a16="http://schemas.microsoft.com/office/drawing/2014/main" id="{2A672C25-68B1-41A0-891D-369DC4E40A35}"/>
            </a:ext>
          </a:extLst>
        </xdr:cNvPr>
        <xdr:cNvSpPr/>
      </xdr:nvSpPr>
      <xdr:spPr>
        <a:xfrm>
          <a:off x="8427720" y="9052560"/>
          <a:ext cx="41275" cy="114300"/>
        </a:xfrm>
        <a:custGeom>
          <a:avLst/>
          <a:gdLst/>
          <a:ahLst/>
          <a:cxnLst/>
          <a:rect l="0" t="0" r="0" b="0"/>
          <a:pathLst>
            <a:path w="41275" h="114300">
              <a:moveTo>
                <a:pt x="6096" y="1524"/>
              </a:moveTo>
              <a:lnTo>
                <a:pt x="4572" y="762"/>
              </a:lnTo>
              <a:lnTo>
                <a:pt x="4572" y="3048"/>
              </a:lnTo>
              <a:lnTo>
                <a:pt x="4572" y="4572"/>
              </a:lnTo>
              <a:lnTo>
                <a:pt x="3048" y="6096"/>
              </a:lnTo>
              <a:lnTo>
                <a:pt x="1524" y="6096"/>
              </a:lnTo>
              <a:lnTo>
                <a:pt x="1524" y="1524"/>
              </a:lnTo>
              <a:lnTo>
                <a:pt x="3048" y="1524"/>
              </a:lnTo>
              <a:lnTo>
                <a:pt x="4572" y="3048"/>
              </a:lnTo>
              <a:lnTo>
                <a:pt x="4572" y="762"/>
              </a:lnTo>
              <a:lnTo>
                <a:pt x="3048" y="0"/>
              </a:lnTo>
              <a:lnTo>
                <a:pt x="1524" y="0"/>
              </a:lnTo>
              <a:lnTo>
                <a:pt x="0" y="1524"/>
              </a:lnTo>
              <a:lnTo>
                <a:pt x="0" y="4572"/>
              </a:lnTo>
              <a:lnTo>
                <a:pt x="1485" y="7543"/>
              </a:lnTo>
              <a:lnTo>
                <a:pt x="4622" y="7543"/>
              </a:lnTo>
              <a:lnTo>
                <a:pt x="5334" y="6096"/>
              </a:lnTo>
              <a:lnTo>
                <a:pt x="5410" y="5956"/>
              </a:lnTo>
              <a:lnTo>
                <a:pt x="6096" y="4572"/>
              </a:lnTo>
              <a:lnTo>
                <a:pt x="6096" y="1524"/>
              </a:lnTo>
              <a:close/>
            </a:path>
            <a:path w="41275" h="114300">
              <a:moveTo>
                <a:pt x="9156" y="71628"/>
              </a:moveTo>
              <a:lnTo>
                <a:pt x="7632" y="70866"/>
              </a:lnTo>
              <a:lnTo>
                <a:pt x="7632" y="71628"/>
              </a:lnTo>
              <a:lnTo>
                <a:pt x="7632" y="74676"/>
              </a:lnTo>
              <a:lnTo>
                <a:pt x="6108" y="76200"/>
              </a:lnTo>
              <a:lnTo>
                <a:pt x="4584" y="76200"/>
              </a:lnTo>
              <a:lnTo>
                <a:pt x="4584" y="71628"/>
              </a:lnTo>
              <a:lnTo>
                <a:pt x="7632" y="71628"/>
              </a:lnTo>
              <a:lnTo>
                <a:pt x="7632" y="70866"/>
              </a:lnTo>
              <a:lnTo>
                <a:pt x="6108" y="70104"/>
              </a:lnTo>
              <a:lnTo>
                <a:pt x="4584" y="70104"/>
              </a:lnTo>
              <a:lnTo>
                <a:pt x="3060" y="71628"/>
              </a:lnTo>
              <a:lnTo>
                <a:pt x="3060" y="74676"/>
              </a:lnTo>
              <a:lnTo>
                <a:pt x="4533" y="77647"/>
              </a:lnTo>
              <a:lnTo>
                <a:pt x="6184" y="77647"/>
              </a:lnTo>
              <a:lnTo>
                <a:pt x="7632" y="76200"/>
              </a:lnTo>
              <a:lnTo>
                <a:pt x="9156" y="74676"/>
              </a:lnTo>
              <a:lnTo>
                <a:pt x="9156" y="71628"/>
              </a:lnTo>
              <a:close/>
            </a:path>
            <a:path w="41275" h="114300">
              <a:moveTo>
                <a:pt x="15938" y="6096"/>
              </a:moveTo>
              <a:lnTo>
                <a:pt x="15240" y="6096"/>
              </a:lnTo>
              <a:lnTo>
                <a:pt x="13804" y="7543"/>
              </a:lnTo>
              <a:lnTo>
                <a:pt x="15938" y="6096"/>
              </a:lnTo>
              <a:close/>
            </a:path>
            <a:path w="41275" h="114300">
              <a:moveTo>
                <a:pt x="17475" y="111760"/>
              </a:moveTo>
              <a:lnTo>
                <a:pt x="12204" y="105156"/>
              </a:lnTo>
              <a:lnTo>
                <a:pt x="12204" y="82296"/>
              </a:lnTo>
              <a:lnTo>
                <a:pt x="16852" y="77647"/>
              </a:lnTo>
              <a:lnTo>
                <a:pt x="13347" y="80010"/>
              </a:lnTo>
              <a:lnTo>
                <a:pt x="9194" y="86258"/>
              </a:lnTo>
              <a:lnTo>
                <a:pt x="7632" y="94488"/>
              </a:lnTo>
              <a:lnTo>
                <a:pt x="9194" y="102730"/>
              </a:lnTo>
              <a:lnTo>
                <a:pt x="13347" y="108966"/>
              </a:lnTo>
              <a:lnTo>
                <a:pt x="17475" y="111760"/>
              </a:lnTo>
              <a:close/>
            </a:path>
            <a:path w="41275" h="114300">
              <a:moveTo>
                <a:pt x="18986" y="112776"/>
              </a:moveTo>
              <a:lnTo>
                <a:pt x="17475" y="111760"/>
              </a:lnTo>
              <a:lnTo>
                <a:pt x="18300" y="112776"/>
              </a:lnTo>
              <a:lnTo>
                <a:pt x="18986" y="112776"/>
              </a:lnTo>
              <a:close/>
            </a:path>
            <a:path w="41275" h="114300">
              <a:moveTo>
                <a:pt x="18986" y="76200"/>
              </a:moveTo>
              <a:lnTo>
                <a:pt x="18300" y="76200"/>
              </a:lnTo>
              <a:lnTo>
                <a:pt x="16852" y="77647"/>
              </a:lnTo>
              <a:lnTo>
                <a:pt x="18986" y="76200"/>
              </a:lnTo>
              <a:close/>
            </a:path>
            <a:path w="41275" h="114300">
              <a:moveTo>
                <a:pt x="36576" y="13716"/>
              </a:moveTo>
              <a:lnTo>
                <a:pt x="35052" y="6096"/>
              </a:lnTo>
              <a:lnTo>
                <a:pt x="30480" y="4572"/>
              </a:lnTo>
              <a:lnTo>
                <a:pt x="22860" y="4572"/>
              </a:lnTo>
              <a:lnTo>
                <a:pt x="16154" y="5956"/>
              </a:lnTo>
              <a:lnTo>
                <a:pt x="15938" y="6096"/>
              </a:lnTo>
              <a:lnTo>
                <a:pt x="28956" y="6096"/>
              </a:lnTo>
              <a:lnTo>
                <a:pt x="31838" y="7543"/>
              </a:lnTo>
              <a:lnTo>
                <a:pt x="31965" y="7543"/>
              </a:lnTo>
              <a:lnTo>
                <a:pt x="35052" y="13716"/>
              </a:lnTo>
              <a:lnTo>
                <a:pt x="36576" y="13716"/>
              </a:lnTo>
              <a:close/>
            </a:path>
            <a:path w="41275" h="114300">
              <a:moveTo>
                <a:pt x="38100" y="36576"/>
              </a:moveTo>
              <a:lnTo>
                <a:pt x="35052" y="35052"/>
              </a:lnTo>
              <a:lnTo>
                <a:pt x="32004" y="39624"/>
              </a:lnTo>
              <a:lnTo>
                <a:pt x="28956" y="42672"/>
              </a:lnTo>
              <a:lnTo>
                <a:pt x="16764" y="42672"/>
              </a:lnTo>
              <a:lnTo>
                <a:pt x="9144" y="35052"/>
              </a:lnTo>
              <a:lnTo>
                <a:pt x="9144" y="12192"/>
              </a:lnTo>
              <a:lnTo>
                <a:pt x="13804" y="7543"/>
              </a:lnTo>
              <a:lnTo>
                <a:pt x="10287" y="9906"/>
              </a:lnTo>
              <a:lnTo>
                <a:pt x="6146" y="16154"/>
              </a:lnTo>
              <a:lnTo>
                <a:pt x="4572" y="24384"/>
              </a:lnTo>
              <a:lnTo>
                <a:pt x="6146" y="32626"/>
              </a:lnTo>
              <a:lnTo>
                <a:pt x="10287" y="38862"/>
              </a:lnTo>
              <a:lnTo>
                <a:pt x="16154" y="42824"/>
              </a:lnTo>
              <a:lnTo>
                <a:pt x="22860" y="44196"/>
              </a:lnTo>
              <a:lnTo>
                <a:pt x="28956" y="44196"/>
              </a:lnTo>
              <a:lnTo>
                <a:pt x="31242" y="42672"/>
              </a:lnTo>
              <a:lnTo>
                <a:pt x="33528" y="41148"/>
              </a:lnTo>
              <a:lnTo>
                <a:pt x="38100" y="36576"/>
              </a:lnTo>
              <a:close/>
            </a:path>
            <a:path w="41275" h="114300">
              <a:moveTo>
                <a:pt x="39636" y="83820"/>
              </a:moveTo>
              <a:lnTo>
                <a:pt x="38112" y="76200"/>
              </a:lnTo>
              <a:lnTo>
                <a:pt x="33540" y="74676"/>
              </a:lnTo>
              <a:lnTo>
                <a:pt x="25920" y="74676"/>
              </a:lnTo>
              <a:lnTo>
                <a:pt x="19202" y="76060"/>
              </a:lnTo>
              <a:lnTo>
                <a:pt x="18986" y="76200"/>
              </a:lnTo>
              <a:lnTo>
                <a:pt x="32016" y="76200"/>
              </a:lnTo>
              <a:lnTo>
                <a:pt x="34886" y="77647"/>
              </a:lnTo>
              <a:lnTo>
                <a:pt x="35013" y="77647"/>
              </a:lnTo>
              <a:lnTo>
                <a:pt x="38112" y="83820"/>
              </a:lnTo>
              <a:lnTo>
                <a:pt x="39636" y="83820"/>
              </a:lnTo>
              <a:close/>
            </a:path>
            <a:path w="41275" h="114300">
              <a:moveTo>
                <a:pt x="41160" y="106680"/>
              </a:moveTo>
              <a:lnTo>
                <a:pt x="38112" y="105156"/>
              </a:lnTo>
              <a:lnTo>
                <a:pt x="35064" y="109728"/>
              </a:lnTo>
              <a:lnTo>
                <a:pt x="32016" y="112776"/>
              </a:lnTo>
              <a:lnTo>
                <a:pt x="18986" y="112776"/>
              </a:lnTo>
              <a:lnTo>
                <a:pt x="19202" y="112928"/>
              </a:lnTo>
              <a:lnTo>
                <a:pt x="25920" y="114300"/>
              </a:lnTo>
              <a:lnTo>
                <a:pt x="32016" y="114300"/>
              </a:lnTo>
              <a:lnTo>
                <a:pt x="36588" y="111252"/>
              </a:lnTo>
              <a:lnTo>
                <a:pt x="41160" y="106680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55</xdr:row>
      <xdr:rowOff>0</xdr:rowOff>
    </xdr:from>
    <xdr:ext cx="38100" cy="44450"/>
    <xdr:sp macro="" textlink="">
      <xdr:nvSpPr>
        <xdr:cNvPr id="13" name="Shape 917">
          <a:extLst>
            <a:ext uri="{FF2B5EF4-FFF2-40B4-BE49-F238E27FC236}">
              <a16:creationId xmlns:a16="http://schemas.microsoft.com/office/drawing/2014/main" id="{72B47A2E-AED0-48D6-B382-7A04EF5E8721}"/>
            </a:ext>
          </a:extLst>
        </xdr:cNvPr>
        <xdr:cNvSpPr/>
      </xdr:nvSpPr>
      <xdr:spPr>
        <a:xfrm>
          <a:off x="8427720" y="9052560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3048" y="7620"/>
              </a:lnTo>
              <a:lnTo>
                <a:pt x="0" y="4572"/>
              </a:lnTo>
              <a:lnTo>
                <a:pt x="0" y="1524"/>
              </a:lnTo>
              <a:lnTo>
                <a:pt x="3048" y="0"/>
              </a:lnTo>
              <a:lnTo>
                <a:pt x="4572" y="0"/>
              </a:lnTo>
              <a:lnTo>
                <a:pt x="6096" y="1524"/>
              </a:lnTo>
              <a:lnTo>
                <a:pt x="3048" y="1524"/>
              </a:lnTo>
              <a:lnTo>
                <a:pt x="1524" y="3048"/>
              </a:lnTo>
              <a:lnTo>
                <a:pt x="1524" y="4572"/>
              </a:lnTo>
              <a:lnTo>
                <a:pt x="3048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30480" y="6096"/>
              </a:lnTo>
              <a:lnTo>
                <a:pt x="17200" y="6096"/>
              </a:lnTo>
              <a:lnTo>
                <a:pt x="17430" y="5953"/>
              </a:lnTo>
              <a:lnTo>
                <a:pt x="24384" y="4572"/>
              </a:lnTo>
              <a:lnTo>
                <a:pt x="32004" y="4572"/>
              </a:lnTo>
              <a:lnTo>
                <a:pt x="36576" y="6096"/>
              </a:lnTo>
              <a:lnTo>
                <a:pt x="36576" y="13716"/>
              </a:lnTo>
              <a:close/>
            </a:path>
            <a:path w="38100" h="44450">
              <a:moveTo>
                <a:pt x="15268" y="7292"/>
              </a:moveTo>
              <a:lnTo>
                <a:pt x="16764" y="6096"/>
              </a:lnTo>
              <a:lnTo>
                <a:pt x="17200" y="6096"/>
              </a:lnTo>
              <a:lnTo>
                <a:pt x="15268" y="7292"/>
              </a:lnTo>
              <a:close/>
            </a:path>
            <a:path w="38100" h="44450">
              <a:moveTo>
                <a:pt x="9629" y="11803"/>
              </a:moveTo>
              <a:lnTo>
                <a:pt x="11049" y="9906"/>
              </a:lnTo>
              <a:lnTo>
                <a:pt x="14739" y="7620"/>
              </a:lnTo>
              <a:lnTo>
                <a:pt x="12001" y="9906"/>
              </a:lnTo>
              <a:lnTo>
                <a:pt x="9629" y="11803"/>
              </a:lnTo>
              <a:close/>
            </a:path>
            <a:path w="38100" h="44450">
              <a:moveTo>
                <a:pt x="9144" y="12452"/>
              </a:moveTo>
              <a:lnTo>
                <a:pt x="9144" y="12192"/>
              </a:lnTo>
              <a:lnTo>
                <a:pt x="9629" y="11803"/>
              </a:lnTo>
              <a:lnTo>
                <a:pt x="9144" y="12452"/>
              </a:lnTo>
              <a:close/>
            </a:path>
            <a:path w="38100" h="44450">
              <a:moveTo>
                <a:pt x="16054" y="41962"/>
              </a:moveTo>
              <a:lnTo>
                <a:pt x="11049" y="38862"/>
              </a:lnTo>
              <a:lnTo>
                <a:pt x="6381" y="32623"/>
              </a:lnTo>
              <a:lnTo>
                <a:pt x="4572" y="24384"/>
              </a:lnTo>
              <a:lnTo>
                <a:pt x="6381" y="16144"/>
              </a:lnTo>
              <a:lnTo>
                <a:pt x="9144" y="12452"/>
              </a:lnTo>
              <a:lnTo>
                <a:pt x="9144" y="35052"/>
              </a:lnTo>
              <a:lnTo>
                <a:pt x="16054" y="41962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7430" y="42814"/>
              </a:lnTo>
              <a:lnTo>
                <a:pt x="17200" y="42672"/>
              </a:lnTo>
              <a:lnTo>
                <a:pt x="28956" y="42672"/>
              </a:lnTo>
              <a:lnTo>
                <a:pt x="33528" y="39624"/>
              </a:lnTo>
              <a:lnTo>
                <a:pt x="36576" y="35052"/>
              </a:lnTo>
              <a:lnTo>
                <a:pt x="38100" y="36576"/>
              </a:lnTo>
              <a:lnTo>
                <a:pt x="35052" y="41148"/>
              </a:lnTo>
              <a:lnTo>
                <a:pt x="30480" y="44196"/>
              </a:lnTo>
              <a:close/>
            </a:path>
            <a:path w="38100" h="44450">
              <a:moveTo>
                <a:pt x="17200" y="42672"/>
              </a:moveTo>
              <a:lnTo>
                <a:pt x="16764" y="42672"/>
              </a:lnTo>
              <a:lnTo>
                <a:pt x="16054" y="41962"/>
              </a:lnTo>
              <a:lnTo>
                <a:pt x="17200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55</xdr:row>
      <xdr:rowOff>0</xdr:rowOff>
    </xdr:from>
    <xdr:ext cx="38100" cy="44450"/>
    <xdr:sp macro="" textlink="">
      <xdr:nvSpPr>
        <xdr:cNvPr id="14" name="Shape 918">
          <a:extLst>
            <a:ext uri="{FF2B5EF4-FFF2-40B4-BE49-F238E27FC236}">
              <a16:creationId xmlns:a16="http://schemas.microsoft.com/office/drawing/2014/main" id="{C47547C9-D89C-4E04-9C7F-73EFBCE64E10}"/>
            </a:ext>
          </a:extLst>
        </xdr:cNvPr>
        <xdr:cNvSpPr/>
      </xdr:nvSpPr>
      <xdr:spPr>
        <a:xfrm>
          <a:off x="8427720" y="9052560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4572" y="0"/>
              </a:lnTo>
              <a:lnTo>
                <a:pt x="6096" y="1524"/>
              </a:lnTo>
              <a:lnTo>
                <a:pt x="3048" y="1524"/>
              </a:lnTo>
              <a:lnTo>
                <a:pt x="1524" y="3048"/>
              </a:lnTo>
              <a:lnTo>
                <a:pt x="1524" y="4572"/>
              </a:lnTo>
              <a:lnTo>
                <a:pt x="3048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28956" y="6096"/>
              </a:lnTo>
              <a:lnTo>
                <a:pt x="17200" y="6096"/>
              </a:lnTo>
              <a:lnTo>
                <a:pt x="17430" y="5953"/>
              </a:lnTo>
              <a:lnTo>
                <a:pt x="24384" y="4572"/>
              </a:lnTo>
              <a:lnTo>
                <a:pt x="32004" y="4572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15268" y="7292"/>
              </a:moveTo>
              <a:lnTo>
                <a:pt x="16764" y="6096"/>
              </a:lnTo>
              <a:lnTo>
                <a:pt x="17200" y="6096"/>
              </a:lnTo>
              <a:lnTo>
                <a:pt x="15268" y="7292"/>
              </a:lnTo>
              <a:close/>
            </a:path>
            <a:path w="38100" h="44450">
              <a:moveTo>
                <a:pt x="9629" y="11803"/>
              </a:moveTo>
              <a:lnTo>
                <a:pt x="11049" y="9906"/>
              </a:lnTo>
              <a:lnTo>
                <a:pt x="14739" y="7620"/>
              </a:lnTo>
              <a:lnTo>
                <a:pt x="12001" y="9906"/>
              </a:lnTo>
              <a:lnTo>
                <a:pt x="9629" y="11803"/>
              </a:lnTo>
              <a:close/>
            </a:path>
            <a:path w="38100" h="44450">
              <a:moveTo>
                <a:pt x="9144" y="12452"/>
              </a:moveTo>
              <a:lnTo>
                <a:pt x="9144" y="12192"/>
              </a:lnTo>
              <a:lnTo>
                <a:pt x="9629" y="11803"/>
              </a:lnTo>
              <a:lnTo>
                <a:pt x="9144" y="12452"/>
              </a:lnTo>
              <a:close/>
            </a:path>
            <a:path w="38100" h="44450">
              <a:moveTo>
                <a:pt x="16947" y="42914"/>
              </a:moveTo>
              <a:lnTo>
                <a:pt x="10477" y="38862"/>
              </a:lnTo>
              <a:lnTo>
                <a:pt x="6167" y="32623"/>
              </a:lnTo>
              <a:lnTo>
                <a:pt x="4572" y="24384"/>
              </a:lnTo>
              <a:lnTo>
                <a:pt x="6381" y="16144"/>
              </a:lnTo>
              <a:lnTo>
                <a:pt x="9144" y="12452"/>
              </a:lnTo>
              <a:lnTo>
                <a:pt x="9144" y="35052"/>
              </a:lnTo>
              <a:lnTo>
                <a:pt x="16947" y="42914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6002" y="42672"/>
              </a:lnTo>
              <a:lnTo>
                <a:pt x="28956" y="42672"/>
              </a:lnTo>
              <a:lnTo>
                <a:pt x="33528" y="39624"/>
              </a:lnTo>
              <a:lnTo>
                <a:pt x="36576" y="35052"/>
              </a:lnTo>
              <a:lnTo>
                <a:pt x="38100" y="36576"/>
              </a:lnTo>
              <a:lnTo>
                <a:pt x="35052" y="41148"/>
              </a:lnTo>
              <a:lnTo>
                <a:pt x="30480" y="44196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55</xdr:row>
      <xdr:rowOff>0</xdr:rowOff>
    </xdr:from>
    <xdr:ext cx="36830" cy="44450"/>
    <xdr:sp macro="" textlink="">
      <xdr:nvSpPr>
        <xdr:cNvPr id="15" name="Shape 919">
          <a:extLst>
            <a:ext uri="{FF2B5EF4-FFF2-40B4-BE49-F238E27FC236}">
              <a16:creationId xmlns:a16="http://schemas.microsoft.com/office/drawing/2014/main" id="{A5563229-484E-455D-9AAC-FA634359F872}"/>
            </a:ext>
          </a:extLst>
        </xdr:cNvPr>
        <xdr:cNvSpPr/>
      </xdr:nvSpPr>
      <xdr:spPr>
        <a:xfrm>
          <a:off x="8427720" y="9052560"/>
          <a:ext cx="36830" cy="44450"/>
        </a:xfrm>
        <a:custGeom>
          <a:avLst/>
          <a:gdLst/>
          <a:ahLst/>
          <a:cxnLst/>
          <a:rect l="0" t="0" r="0" b="0"/>
          <a:pathLst>
            <a:path w="36830" h="44450">
              <a:moveTo>
                <a:pt x="3133" y="7534"/>
              </a:moveTo>
              <a:lnTo>
                <a:pt x="1481" y="7534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3048" y="0"/>
              </a:lnTo>
              <a:lnTo>
                <a:pt x="6096" y="1524"/>
              </a:lnTo>
              <a:lnTo>
                <a:pt x="1524" y="1524"/>
              </a:lnTo>
              <a:lnTo>
                <a:pt x="1524" y="6096"/>
              </a:lnTo>
              <a:lnTo>
                <a:pt x="4572" y="6096"/>
              </a:lnTo>
              <a:lnTo>
                <a:pt x="3133" y="7534"/>
              </a:lnTo>
              <a:close/>
            </a:path>
            <a:path w="36830" h="44450">
              <a:moveTo>
                <a:pt x="4572" y="6096"/>
              </a:moveTo>
              <a:lnTo>
                <a:pt x="3048" y="6096"/>
              </a:lnTo>
              <a:lnTo>
                <a:pt x="4572" y="4572"/>
              </a:lnTo>
              <a:lnTo>
                <a:pt x="4572" y="3048"/>
              </a:lnTo>
              <a:lnTo>
                <a:pt x="3048" y="1524"/>
              </a:lnTo>
              <a:lnTo>
                <a:pt x="6096" y="1524"/>
              </a:lnTo>
              <a:lnTo>
                <a:pt x="6096" y="4572"/>
              </a:lnTo>
              <a:lnTo>
                <a:pt x="4572" y="6096"/>
              </a:lnTo>
              <a:close/>
            </a:path>
            <a:path w="36830" h="44450">
              <a:moveTo>
                <a:pt x="35052" y="13716"/>
              </a:moveTo>
              <a:lnTo>
                <a:pt x="31961" y="7534"/>
              </a:lnTo>
              <a:lnTo>
                <a:pt x="31832" y="7534"/>
              </a:lnTo>
              <a:lnTo>
                <a:pt x="28956" y="6096"/>
              </a:lnTo>
              <a:lnTo>
                <a:pt x="15933" y="6096"/>
              </a:lnTo>
              <a:lnTo>
                <a:pt x="16144" y="5953"/>
              </a:lnTo>
              <a:lnTo>
                <a:pt x="22860" y="4572"/>
              </a:lnTo>
              <a:lnTo>
                <a:pt x="30480" y="4572"/>
              </a:lnTo>
              <a:lnTo>
                <a:pt x="35052" y="6096"/>
              </a:lnTo>
              <a:lnTo>
                <a:pt x="35052" y="13716"/>
              </a:lnTo>
              <a:close/>
            </a:path>
            <a:path w="36830" h="44450">
              <a:moveTo>
                <a:pt x="13801" y="7534"/>
              </a:moveTo>
              <a:lnTo>
                <a:pt x="15240" y="6096"/>
              </a:lnTo>
              <a:lnTo>
                <a:pt x="15933" y="6096"/>
              </a:lnTo>
              <a:lnTo>
                <a:pt x="13801" y="7534"/>
              </a:lnTo>
              <a:close/>
            </a:path>
            <a:path w="36830" h="44450">
              <a:moveTo>
                <a:pt x="14426" y="41655"/>
              </a:moveTo>
              <a:lnTo>
                <a:pt x="10287" y="38862"/>
              </a:lnTo>
              <a:lnTo>
                <a:pt x="6143" y="32623"/>
              </a:lnTo>
              <a:lnTo>
                <a:pt x="4572" y="24384"/>
              </a:lnTo>
              <a:lnTo>
                <a:pt x="6143" y="16144"/>
              </a:lnTo>
              <a:lnTo>
                <a:pt x="10287" y="9906"/>
              </a:lnTo>
              <a:lnTo>
                <a:pt x="13801" y="7534"/>
              </a:lnTo>
              <a:lnTo>
                <a:pt x="9144" y="12192"/>
              </a:lnTo>
              <a:lnTo>
                <a:pt x="9144" y="35052"/>
              </a:lnTo>
              <a:lnTo>
                <a:pt x="14426" y="41655"/>
              </a:lnTo>
              <a:close/>
            </a:path>
            <a:path w="36830" h="44450">
              <a:moveTo>
                <a:pt x="28956" y="44196"/>
              </a:moveTo>
              <a:lnTo>
                <a:pt x="22860" y="44196"/>
              </a:lnTo>
              <a:lnTo>
                <a:pt x="16144" y="42814"/>
              </a:lnTo>
              <a:lnTo>
                <a:pt x="15933" y="42672"/>
              </a:lnTo>
              <a:lnTo>
                <a:pt x="27432" y="42672"/>
              </a:lnTo>
              <a:lnTo>
                <a:pt x="32004" y="39624"/>
              </a:lnTo>
              <a:lnTo>
                <a:pt x="35052" y="35052"/>
              </a:lnTo>
              <a:lnTo>
                <a:pt x="36576" y="36576"/>
              </a:lnTo>
              <a:lnTo>
                <a:pt x="33528" y="41148"/>
              </a:lnTo>
              <a:lnTo>
                <a:pt x="28956" y="44196"/>
              </a:lnTo>
              <a:close/>
            </a:path>
            <a:path w="36830" h="44450">
              <a:moveTo>
                <a:pt x="15933" y="42672"/>
              </a:moveTo>
              <a:lnTo>
                <a:pt x="15240" y="42672"/>
              </a:lnTo>
              <a:lnTo>
                <a:pt x="14426" y="41655"/>
              </a:lnTo>
              <a:lnTo>
                <a:pt x="15933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55</xdr:row>
      <xdr:rowOff>0</xdr:rowOff>
    </xdr:from>
    <xdr:ext cx="38100" cy="44450"/>
    <xdr:sp macro="" textlink="">
      <xdr:nvSpPr>
        <xdr:cNvPr id="16" name="Shape 920">
          <a:extLst>
            <a:ext uri="{FF2B5EF4-FFF2-40B4-BE49-F238E27FC236}">
              <a16:creationId xmlns:a16="http://schemas.microsoft.com/office/drawing/2014/main" id="{2EEA3A3C-8C90-441A-A123-DE95A9321847}"/>
            </a:ext>
          </a:extLst>
        </xdr:cNvPr>
        <xdr:cNvSpPr/>
      </xdr:nvSpPr>
      <xdr:spPr>
        <a:xfrm>
          <a:off x="8427720" y="9052560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4572" y="0"/>
              </a:lnTo>
              <a:lnTo>
                <a:pt x="6096" y="1524"/>
              </a:lnTo>
              <a:lnTo>
                <a:pt x="1524" y="1524"/>
              </a:lnTo>
              <a:lnTo>
                <a:pt x="1524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28956" y="44196"/>
              </a:moveTo>
              <a:lnTo>
                <a:pt x="22860" y="44196"/>
              </a:lnTo>
              <a:lnTo>
                <a:pt x="16144" y="42814"/>
              </a:lnTo>
              <a:lnTo>
                <a:pt x="10287" y="38862"/>
              </a:lnTo>
              <a:lnTo>
                <a:pt x="6143" y="32623"/>
              </a:lnTo>
              <a:lnTo>
                <a:pt x="4572" y="24384"/>
              </a:lnTo>
              <a:lnTo>
                <a:pt x="6143" y="16144"/>
              </a:lnTo>
              <a:lnTo>
                <a:pt x="10287" y="9906"/>
              </a:lnTo>
              <a:lnTo>
                <a:pt x="16144" y="5953"/>
              </a:lnTo>
              <a:lnTo>
                <a:pt x="22860" y="4572"/>
              </a:lnTo>
              <a:lnTo>
                <a:pt x="30480" y="4572"/>
              </a:lnTo>
              <a:lnTo>
                <a:pt x="35052" y="6096"/>
              </a:lnTo>
              <a:lnTo>
                <a:pt x="16764" y="6096"/>
              </a:lnTo>
              <a:lnTo>
                <a:pt x="9144" y="12192"/>
              </a:lnTo>
              <a:lnTo>
                <a:pt x="9144" y="35052"/>
              </a:lnTo>
              <a:lnTo>
                <a:pt x="16764" y="42672"/>
              </a:lnTo>
              <a:lnTo>
                <a:pt x="31242" y="42672"/>
              </a:lnTo>
              <a:lnTo>
                <a:pt x="28956" y="441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2004" y="7620"/>
              </a:lnTo>
              <a:lnTo>
                <a:pt x="28956" y="6096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31242" y="42672"/>
              </a:moveTo>
              <a:lnTo>
                <a:pt x="28956" y="42672"/>
              </a:lnTo>
              <a:lnTo>
                <a:pt x="33528" y="39624"/>
              </a:lnTo>
              <a:lnTo>
                <a:pt x="35052" y="35052"/>
              </a:lnTo>
              <a:lnTo>
                <a:pt x="38100" y="36576"/>
              </a:lnTo>
              <a:lnTo>
                <a:pt x="33528" y="41148"/>
              </a:lnTo>
              <a:lnTo>
                <a:pt x="31242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55</xdr:row>
      <xdr:rowOff>0</xdr:rowOff>
    </xdr:from>
    <xdr:ext cx="41275" cy="114300"/>
    <xdr:sp macro="" textlink="">
      <xdr:nvSpPr>
        <xdr:cNvPr id="17" name="Shape 916">
          <a:extLst>
            <a:ext uri="{FF2B5EF4-FFF2-40B4-BE49-F238E27FC236}">
              <a16:creationId xmlns:a16="http://schemas.microsoft.com/office/drawing/2014/main" id="{D3141882-4E03-4581-A97D-071827B41817}"/>
            </a:ext>
          </a:extLst>
        </xdr:cNvPr>
        <xdr:cNvSpPr/>
      </xdr:nvSpPr>
      <xdr:spPr>
        <a:xfrm>
          <a:off x="8427720" y="9052560"/>
          <a:ext cx="41275" cy="114300"/>
        </a:xfrm>
        <a:custGeom>
          <a:avLst/>
          <a:gdLst/>
          <a:ahLst/>
          <a:cxnLst/>
          <a:rect l="0" t="0" r="0" b="0"/>
          <a:pathLst>
            <a:path w="41275" h="114300">
              <a:moveTo>
                <a:pt x="6096" y="1524"/>
              </a:moveTo>
              <a:lnTo>
                <a:pt x="4572" y="762"/>
              </a:lnTo>
              <a:lnTo>
                <a:pt x="4572" y="3048"/>
              </a:lnTo>
              <a:lnTo>
                <a:pt x="4572" y="4572"/>
              </a:lnTo>
              <a:lnTo>
                <a:pt x="3048" y="6096"/>
              </a:lnTo>
              <a:lnTo>
                <a:pt x="1524" y="6096"/>
              </a:lnTo>
              <a:lnTo>
                <a:pt x="1524" y="1524"/>
              </a:lnTo>
              <a:lnTo>
                <a:pt x="3048" y="1524"/>
              </a:lnTo>
              <a:lnTo>
                <a:pt x="4572" y="3048"/>
              </a:lnTo>
              <a:lnTo>
                <a:pt x="4572" y="762"/>
              </a:lnTo>
              <a:lnTo>
                <a:pt x="3048" y="0"/>
              </a:lnTo>
              <a:lnTo>
                <a:pt x="1524" y="0"/>
              </a:lnTo>
              <a:lnTo>
                <a:pt x="0" y="1524"/>
              </a:lnTo>
              <a:lnTo>
                <a:pt x="0" y="4572"/>
              </a:lnTo>
              <a:lnTo>
                <a:pt x="1485" y="7543"/>
              </a:lnTo>
              <a:lnTo>
                <a:pt x="4622" y="7543"/>
              </a:lnTo>
              <a:lnTo>
                <a:pt x="5334" y="6096"/>
              </a:lnTo>
              <a:lnTo>
                <a:pt x="5410" y="5956"/>
              </a:lnTo>
              <a:lnTo>
                <a:pt x="6096" y="4572"/>
              </a:lnTo>
              <a:lnTo>
                <a:pt x="6096" y="1524"/>
              </a:lnTo>
              <a:close/>
            </a:path>
            <a:path w="41275" h="114300">
              <a:moveTo>
                <a:pt x="9156" y="71628"/>
              </a:moveTo>
              <a:lnTo>
                <a:pt x="7632" y="70866"/>
              </a:lnTo>
              <a:lnTo>
                <a:pt x="7632" y="71628"/>
              </a:lnTo>
              <a:lnTo>
                <a:pt x="7632" y="74676"/>
              </a:lnTo>
              <a:lnTo>
                <a:pt x="6108" y="76200"/>
              </a:lnTo>
              <a:lnTo>
                <a:pt x="4584" y="76200"/>
              </a:lnTo>
              <a:lnTo>
                <a:pt x="4584" y="71628"/>
              </a:lnTo>
              <a:lnTo>
                <a:pt x="7632" y="71628"/>
              </a:lnTo>
              <a:lnTo>
                <a:pt x="7632" y="70866"/>
              </a:lnTo>
              <a:lnTo>
                <a:pt x="6108" y="70104"/>
              </a:lnTo>
              <a:lnTo>
                <a:pt x="4584" y="70104"/>
              </a:lnTo>
              <a:lnTo>
                <a:pt x="3060" y="71628"/>
              </a:lnTo>
              <a:lnTo>
                <a:pt x="3060" y="74676"/>
              </a:lnTo>
              <a:lnTo>
                <a:pt x="4533" y="77647"/>
              </a:lnTo>
              <a:lnTo>
                <a:pt x="6184" y="77647"/>
              </a:lnTo>
              <a:lnTo>
                <a:pt x="7632" y="76200"/>
              </a:lnTo>
              <a:lnTo>
                <a:pt x="9156" y="74676"/>
              </a:lnTo>
              <a:lnTo>
                <a:pt x="9156" y="71628"/>
              </a:lnTo>
              <a:close/>
            </a:path>
            <a:path w="41275" h="114300">
              <a:moveTo>
                <a:pt x="15938" y="6096"/>
              </a:moveTo>
              <a:lnTo>
                <a:pt x="15240" y="6096"/>
              </a:lnTo>
              <a:lnTo>
                <a:pt x="13804" y="7543"/>
              </a:lnTo>
              <a:lnTo>
                <a:pt x="15938" y="6096"/>
              </a:lnTo>
              <a:close/>
            </a:path>
            <a:path w="41275" h="114300">
              <a:moveTo>
                <a:pt x="17475" y="111760"/>
              </a:moveTo>
              <a:lnTo>
                <a:pt x="12204" y="105156"/>
              </a:lnTo>
              <a:lnTo>
                <a:pt x="12204" y="82296"/>
              </a:lnTo>
              <a:lnTo>
                <a:pt x="16852" y="77647"/>
              </a:lnTo>
              <a:lnTo>
                <a:pt x="13347" y="80010"/>
              </a:lnTo>
              <a:lnTo>
                <a:pt x="9194" y="86258"/>
              </a:lnTo>
              <a:lnTo>
                <a:pt x="7632" y="94488"/>
              </a:lnTo>
              <a:lnTo>
                <a:pt x="9194" y="102730"/>
              </a:lnTo>
              <a:lnTo>
                <a:pt x="13347" y="108966"/>
              </a:lnTo>
              <a:lnTo>
                <a:pt x="17475" y="111760"/>
              </a:lnTo>
              <a:close/>
            </a:path>
            <a:path w="41275" h="114300">
              <a:moveTo>
                <a:pt x="18986" y="112776"/>
              </a:moveTo>
              <a:lnTo>
                <a:pt x="17475" y="111760"/>
              </a:lnTo>
              <a:lnTo>
                <a:pt x="18300" y="112776"/>
              </a:lnTo>
              <a:lnTo>
                <a:pt x="18986" y="112776"/>
              </a:lnTo>
              <a:close/>
            </a:path>
            <a:path w="41275" h="114300">
              <a:moveTo>
                <a:pt x="18986" y="76200"/>
              </a:moveTo>
              <a:lnTo>
                <a:pt x="18300" y="76200"/>
              </a:lnTo>
              <a:lnTo>
                <a:pt x="16852" y="77647"/>
              </a:lnTo>
              <a:lnTo>
                <a:pt x="18986" y="76200"/>
              </a:lnTo>
              <a:close/>
            </a:path>
            <a:path w="41275" h="114300">
              <a:moveTo>
                <a:pt x="36576" y="13716"/>
              </a:moveTo>
              <a:lnTo>
                <a:pt x="35052" y="6096"/>
              </a:lnTo>
              <a:lnTo>
                <a:pt x="30480" y="4572"/>
              </a:lnTo>
              <a:lnTo>
                <a:pt x="22860" y="4572"/>
              </a:lnTo>
              <a:lnTo>
                <a:pt x="16154" y="5956"/>
              </a:lnTo>
              <a:lnTo>
                <a:pt x="15938" y="6096"/>
              </a:lnTo>
              <a:lnTo>
                <a:pt x="28956" y="6096"/>
              </a:lnTo>
              <a:lnTo>
                <a:pt x="31838" y="7543"/>
              </a:lnTo>
              <a:lnTo>
                <a:pt x="31965" y="7543"/>
              </a:lnTo>
              <a:lnTo>
                <a:pt x="35052" y="13716"/>
              </a:lnTo>
              <a:lnTo>
                <a:pt x="36576" y="13716"/>
              </a:lnTo>
              <a:close/>
            </a:path>
            <a:path w="41275" h="114300">
              <a:moveTo>
                <a:pt x="38100" y="36576"/>
              </a:moveTo>
              <a:lnTo>
                <a:pt x="35052" y="35052"/>
              </a:lnTo>
              <a:lnTo>
                <a:pt x="32004" y="39624"/>
              </a:lnTo>
              <a:lnTo>
                <a:pt x="28956" y="42672"/>
              </a:lnTo>
              <a:lnTo>
                <a:pt x="16764" y="42672"/>
              </a:lnTo>
              <a:lnTo>
                <a:pt x="9144" y="35052"/>
              </a:lnTo>
              <a:lnTo>
                <a:pt x="9144" y="12192"/>
              </a:lnTo>
              <a:lnTo>
                <a:pt x="13804" y="7543"/>
              </a:lnTo>
              <a:lnTo>
                <a:pt x="10287" y="9906"/>
              </a:lnTo>
              <a:lnTo>
                <a:pt x="6146" y="16154"/>
              </a:lnTo>
              <a:lnTo>
                <a:pt x="4572" y="24384"/>
              </a:lnTo>
              <a:lnTo>
                <a:pt x="6146" y="32626"/>
              </a:lnTo>
              <a:lnTo>
                <a:pt x="10287" y="38862"/>
              </a:lnTo>
              <a:lnTo>
                <a:pt x="16154" y="42824"/>
              </a:lnTo>
              <a:lnTo>
                <a:pt x="22860" y="44196"/>
              </a:lnTo>
              <a:lnTo>
                <a:pt x="28956" y="44196"/>
              </a:lnTo>
              <a:lnTo>
                <a:pt x="31242" y="42672"/>
              </a:lnTo>
              <a:lnTo>
                <a:pt x="33528" y="41148"/>
              </a:lnTo>
              <a:lnTo>
                <a:pt x="38100" y="36576"/>
              </a:lnTo>
              <a:close/>
            </a:path>
            <a:path w="41275" h="114300">
              <a:moveTo>
                <a:pt x="39636" y="83820"/>
              </a:moveTo>
              <a:lnTo>
                <a:pt x="38112" y="76200"/>
              </a:lnTo>
              <a:lnTo>
                <a:pt x="33540" y="74676"/>
              </a:lnTo>
              <a:lnTo>
                <a:pt x="25920" y="74676"/>
              </a:lnTo>
              <a:lnTo>
                <a:pt x="19202" y="76060"/>
              </a:lnTo>
              <a:lnTo>
                <a:pt x="18986" y="76200"/>
              </a:lnTo>
              <a:lnTo>
                <a:pt x="32016" y="76200"/>
              </a:lnTo>
              <a:lnTo>
                <a:pt x="34886" y="77647"/>
              </a:lnTo>
              <a:lnTo>
                <a:pt x="35013" y="77647"/>
              </a:lnTo>
              <a:lnTo>
                <a:pt x="38112" y="83820"/>
              </a:lnTo>
              <a:lnTo>
                <a:pt x="39636" y="83820"/>
              </a:lnTo>
              <a:close/>
            </a:path>
            <a:path w="41275" h="114300">
              <a:moveTo>
                <a:pt x="41160" y="106680"/>
              </a:moveTo>
              <a:lnTo>
                <a:pt x="38112" y="105156"/>
              </a:lnTo>
              <a:lnTo>
                <a:pt x="35064" y="109728"/>
              </a:lnTo>
              <a:lnTo>
                <a:pt x="32016" y="112776"/>
              </a:lnTo>
              <a:lnTo>
                <a:pt x="18986" y="112776"/>
              </a:lnTo>
              <a:lnTo>
                <a:pt x="19202" y="112928"/>
              </a:lnTo>
              <a:lnTo>
                <a:pt x="25920" y="114300"/>
              </a:lnTo>
              <a:lnTo>
                <a:pt x="32016" y="114300"/>
              </a:lnTo>
              <a:lnTo>
                <a:pt x="36588" y="111252"/>
              </a:lnTo>
              <a:lnTo>
                <a:pt x="41160" y="106680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55</xdr:row>
      <xdr:rowOff>0</xdr:rowOff>
    </xdr:from>
    <xdr:ext cx="38100" cy="44450"/>
    <xdr:sp macro="" textlink="">
      <xdr:nvSpPr>
        <xdr:cNvPr id="18" name="Shape 917">
          <a:extLst>
            <a:ext uri="{FF2B5EF4-FFF2-40B4-BE49-F238E27FC236}">
              <a16:creationId xmlns:a16="http://schemas.microsoft.com/office/drawing/2014/main" id="{41B0ADF7-5A62-4D58-9C81-98736BF6503C}"/>
            </a:ext>
          </a:extLst>
        </xdr:cNvPr>
        <xdr:cNvSpPr/>
      </xdr:nvSpPr>
      <xdr:spPr>
        <a:xfrm>
          <a:off x="8427720" y="9052560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3048" y="7620"/>
              </a:lnTo>
              <a:lnTo>
                <a:pt x="0" y="4572"/>
              </a:lnTo>
              <a:lnTo>
                <a:pt x="0" y="1524"/>
              </a:lnTo>
              <a:lnTo>
                <a:pt x="3048" y="0"/>
              </a:lnTo>
              <a:lnTo>
                <a:pt x="4572" y="0"/>
              </a:lnTo>
              <a:lnTo>
                <a:pt x="6096" y="1524"/>
              </a:lnTo>
              <a:lnTo>
                <a:pt x="3048" y="1524"/>
              </a:lnTo>
              <a:lnTo>
                <a:pt x="1524" y="3048"/>
              </a:lnTo>
              <a:lnTo>
                <a:pt x="1524" y="4572"/>
              </a:lnTo>
              <a:lnTo>
                <a:pt x="3048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30480" y="6096"/>
              </a:lnTo>
              <a:lnTo>
                <a:pt x="17200" y="6096"/>
              </a:lnTo>
              <a:lnTo>
                <a:pt x="17430" y="5953"/>
              </a:lnTo>
              <a:lnTo>
                <a:pt x="24384" y="4572"/>
              </a:lnTo>
              <a:lnTo>
                <a:pt x="32004" y="4572"/>
              </a:lnTo>
              <a:lnTo>
                <a:pt x="36576" y="6096"/>
              </a:lnTo>
              <a:lnTo>
                <a:pt x="36576" y="13716"/>
              </a:lnTo>
              <a:close/>
            </a:path>
            <a:path w="38100" h="44450">
              <a:moveTo>
                <a:pt x="15268" y="7292"/>
              </a:moveTo>
              <a:lnTo>
                <a:pt x="16764" y="6096"/>
              </a:lnTo>
              <a:lnTo>
                <a:pt x="17200" y="6096"/>
              </a:lnTo>
              <a:lnTo>
                <a:pt x="15268" y="7292"/>
              </a:lnTo>
              <a:close/>
            </a:path>
            <a:path w="38100" h="44450">
              <a:moveTo>
                <a:pt x="9629" y="11803"/>
              </a:moveTo>
              <a:lnTo>
                <a:pt x="11049" y="9906"/>
              </a:lnTo>
              <a:lnTo>
                <a:pt x="14739" y="7620"/>
              </a:lnTo>
              <a:lnTo>
                <a:pt x="12001" y="9906"/>
              </a:lnTo>
              <a:lnTo>
                <a:pt x="9629" y="11803"/>
              </a:lnTo>
              <a:close/>
            </a:path>
            <a:path w="38100" h="44450">
              <a:moveTo>
                <a:pt x="9144" y="12452"/>
              </a:moveTo>
              <a:lnTo>
                <a:pt x="9144" y="12192"/>
              </a:lnTo>
              <a:lnTo>
                <a:pt x="9629" y="11803"/>
              </a:lnTo>
              <a:lnTo>
                <a:pt x="9144" y="12452"/>
              </a:lnTo>
              <a:close/>
            </a:path>
            <a:path w="38100" h="44450">
              <a:moveTo>
                <a:pt x="16054" y="41962"/>
              </a:moveTo>
              <a:lnTo>
                <a:pt x="11049" y="38862"/>
              </a:lnTo>
              <a:lnTo>
                <a:pt x="6381" y="32623"/>
              </a:lnTo>
              <a:lnTo>
                <a:pt x="4572" y="24384"/>
              </a:lnTo>
              <a:lnTo>
                <a:pt x="6381" y="16144"/>
              </a:lnTo>
              <a:lnTo>
                <a:pt x="9144" y="12452"/>
              </a:lnTo>
              <a:lnTo>
                <a:pt x="9144" y="35052"/>
              </a:lnTo>
              <a:lnTo>
                <a:pt x="16054" y="41962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7430" y="42814"/>
              </a:lnTo>
              <a:lnTo>
                <a:pt x="17200" y="42672"/>
              </a:lnTo>
              <a:lnTo>
                <a:pt x="28956" y="42672"/>
              </a:lnTo>
              <a:lnTo>
                <a:pt x="33528" y="39624"/>
              </a:lnTo>
              <a:lnTo>
                <a:pt x="36576" y="35052"/>
              </a:lnTo>
              <a:lnTo>
                <a:pt x="38100" y="36576"/>
              </a:lnTo>
              <a:lnTo>
                <a:pt x="35052" y="41148"/>
              </a:lnTo>
              <a:lnTo>
                <a:pt x="30480" y="44196"/>
              </a:lnTo>
              <a:close/>
            </a:path>
            <a:path w="38100" h="44450">
              <a:moveTo>
                <a:pt x="17200" y="42672"/>
              </a:moveTo>
              <a:lnTo>
                <a:pt x="16764" y="42672"/>
              </a:lnTo>
              <a:lnTo>
                <a:pt x="16054" y="41962"/>
              </a:lnTo>
              <a:lnTo>
                <a:pt x="17200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55</xdr:row>
      <xdr:rowOff>0</xdr:rowOff>
    </xdr:from>
    <xdr:ext cx="38100" cy="44450"/>
    <xdr:sp macro="" textlink="">
      <xdr:nvSpPr>
        <xdr:cNvPr id="19" name="Shape 918">
          <a:extLst>
            <a:ext uri="{FF2B5EF4-FFF2-40B4-BE49-F238E27FC236}">
              <a16:creationId xmlns:a16="http://schemas.microsoft.com/office/drawing/2014/main" id="{DAE36C82-D1BF-446C-ABED-55A8A4D3B7DD}"/>
            </a:ext>
          </a:extLst>
        </xdr:cNvPr>
        <xdr:cNvSpPr/>
      </xdr:nvSpPr>
      <xdr:spPr>
        <a:xfrm>
          <a:off x="8427720" y="9052560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4572" y="0"/>
              </a:lnTo>
              <a:lnTo>
                <a:pt x="6096" y="1524"/>
              </a:lnTo>
              <a:lnTo>
                <a:pt x="3048" y="1524"/>
              </a:lnTo>
              <a:lnTo>
                <a:pt x="1524" y="3048"/>
              </a:lnTo>
              <a:lnTo>
                <a:pt x="1524" y="4572"/>
              </a:lnTo>
              <a:lnTo>
                <a:pt x="3048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28956" y="6096"/>
              </a:lnTo>
              <a:lnTo>
                <a:pt x="17200" y="6096"/>
              </a:lnTo>
              <a:lnTo>
                <a:pt x="17430" y="5953"/>
              </a:lnTo>
              <a:lnTo>
                <a:pt x="24384" y="4572"/>
              </a:lnTo>
              <a:lnTo>
                <a:pt x="32004" y="4572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15268" y="7292"/>
              </a:moveTo>
              <a:lnTo>
                <a:pt x="16764" y="6096"/>
              </a:lnTo>
              <a:lnTo>
                <a:pt x="17200" y="6096"/>
              </a:lnTo>
              <a:lnTo>
                <a:pt x="15268" y="7292"/>
              </a:lnTo>
              <a:close/>
            </a:path>
            <a:path w="38100" h="44450">
              <a:moveTo>
                <a:pt x="9629" y="11803"/>
              </a:moveTo>
              <a:lnTo>
                <a:pt x="11049" y="9906"/>
              </a:lnTo>
              <a:lnTo>
                <a:pt x="14739" y="7620"/>
              </a:lnTo>
              <a:lnTo>
                <a:pt x="12001" y="9906"/>
              </a:lnTo>
              <a:lnTo>
                <a:pt x="9629" y="11803"/>
              </a:lnTo>
              <a:close/>
            </a:path>
            <a:path w="38100" h="44450">
              <a:moveTo>
                <a:pt x="9144" y="12452"/>
              </a:moveTo>
              <a:lnTo>
                <a:pt x="9144" y="12192"/>
              </a:lnTo>
              <a:lnTo>
                <a:pt x="9629" y="11803"/>
              </a:lnTo>
              <a:lnTo>
                <a:pt x="9144" y="12452"/>
              </a:lnTo>
              <a:close/>
            </a:path>
            <a:path w="38100" h="44450">
              <a:moveTo>
                <a:pt x="16947" y="42914"/>
              </a:moveTo>
              <a:lnTo>
                <a:pt x="10477" y="38862"/>
              </a:lnTo>
              <a:lnTo>
                <a:pt x="6167" y="32623"/>
              </a:lnTo>
              <a:lnTo>
                <a:pt x="4572" y="24384"/>
              </a:lnTo>
              <a:lnTo>
                <a:pt x="6381" y="16144"/>
              </a:lnTo>
              <a:lnTo>
                <a:pt x="9144" y="12452"/>
              </a:lnTo>
              <a:lnTo>
                <a:pt x="9144" y="35052"/>
              </a:lnTo>
              <a:lnTo>
                <a:pt x="16947" y="42914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6002" y="42672"/>
              </a:lnTo>
              <a:lnTo>
                <a:pt x="28956" y="42672"/>
              </a:lnTo>
              <a:lnTo>
                <a:pt x="33528" y="39624"/>
              </a:lnTo>
              <a:lnTo>
                <a:pt x="36576" y="35052"/>
              </a:lnTo>
              <a:lnTo>
                <a:pt x="38100" y="36576"/>
              </a:lnTo>
              <a:lnTo>
                <a:pt x="35052" y="41148"/>
              </a:lnTo>
              <a:lnTo>
                <a:pt x="30480" y="44196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55</xdr:row>
      <xdr:rowOff>0</xdr:rowOff>
    </xdr:from>
    <xdr:ext cx="36830" cy="44450"/>
    <xdr:sp macro="" textlink="">
      <xdr:nvSpPr>
        <xdr:cNvPr id="20" name="Shape 919">
          <a:extLst>
            <a:ext uri="{FF2B5EF4-FFF2-40B4-BE49-F238E27FC236}">
              <a16:creationId xmlns:a16="http://schemas.microsoft.com/office/drawing/2014/main" id="{968041B6-4837-45C5-82EA-6E176F10C09A}"/>
            </a:ext>
          </a:extLst>
        </xdr:cNvPr>
        <xdr:cNvSpPr/>
      </xdr:nvSpPr>
      <xdr:spPr>
        <a:xfrm>
          <a:off x="8427720" y="9052560"/>
          <a:ext cx="36830" cy="44450"/>
        </a:xfrm>
        <a:custGeom>
          <a:avLst/>
          <a:gdLst/>
          <a:ahLst/>
          <a:cxnLst/>
          <a:rect l="0" t="0" r="0" b="0"/>
          <a:pathLst>
            <a:path w="36830" h="44450">
              <a:moveTo>
                <a:pt x="3133" y="7534"/>
              </a:moveTo>
              <a:lnTo>
                <a:pt x="1481" y="7534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3048" y="0"/>
              </a:lnTo>
              <a:lnTo>
                <a:pt x="6096" y="1524"/>
              </a:lnTo>
              <a:lnTo>
                <a:pt x="1524" y="1524"/>
              </a:lnTo>
              <a:lnTo>
                <a:pt x="1524" y="6096"/>
              </a:lnTo>
              <a:lnTo>
                <a:pt x="4572" y="6096"/>
              </a:lnTo>
              <a:lnTo>
                <a:pt x="3133" y="7534"/>
              </a:lnTo>
              <a:close/>
            </a:path>
            <a:path w="36830" h="44450">
              <a:moveTo>
                <a:pt x="4572" y="6096"/>
              </a:moveTo>
              <a:lnTo>
                <a:pt x="3048" y="6096"/>
              </a:lnTo>
              <a:lnTo>
                <a:pt x="4572" y="4572"/>
              </a:lnTo>
              <a:lnTo>
                <a:pt x="4572" y="3048"/>
              </a:lnTo>
              <a:lnTo>
                <a:pt x="3048" y="1524"/>
              </a:lnTo>
              <a:lnTo>
                <a:pt x="6096" y="1524"/>
              </a:lnTo>
              <a:lnTo>
                <a:pt x="6096" y="4572"/>
              </a:lnTo>
              <a:lnTo>
                <a:pt x="4572" y="6096"/>
              </a:lnTo>
              <a:close/>
            </a:path>
            <a:path w="36830" h="44450">
              <a:moveTo>
                <a:pt x="35052" y="13716"/>
              </a:moveTo>
              <a:lnTo>
                <a:pt x="31961" y="7534"/>
              </a:lnTo>
              <a:lnTo>
                <a:pt x="31832" y="7534"/>
              </a:lnTo>
              <a:lnTo>
                <a:pt x="28956" y="6096"/>
              </a:lnTo>
              <a:lnTo>
                <a:pt x="15933" y="6096"/>
              </a:lnTo>
              <a:lnTo>
                <a:pt x="16144" y="5953"/>
              </a:lnTo>
              <a:lnTo>
                <a:pt x="22860" y="4572"/>
              </a:lnTo>
              <a:lnTo>
                <a:pt x="30480" y="4572"/>
              </a:lnTo>
              <a:lnTo>
                <a:pt x="35052" y="6096"/>
              </a:lnTo>
              <a:lnTo>
                <a:pt x="35052" y="13716"/>
              </a:lnTo>
              <a:close/>
            </a:path>
            <a:path w="36830" h="44450">
              <a:moveTo>
                <a:pt x="13801" y="7534"/>
              </a:moveTo>
              <a:lnTo>
                <a:pt x="15240" y="6096"/>
              </a:lnTo>
              <a:lnTo>
                <a:pt x="15933" y="6096"/>
              </a:lnTo>
              <a:lnTo>
                <a:pt x="13801" y="7534"/>
              </a:lnTo>
              <a:close/>
            </a:path>
            <a:path w="36830" h="44450">
              <a:moveTo>
                <a:pt x="14426" y="41655"/>
              </a:moveTo>
              <a:lnTo>
                <a:pt x="10287" y="38862"/>
              </a:lnTo>
              <a:lnTo>
                <a:pt x="6143" y="32623"/>
              </a:lnTo>
              <a:lnTo>
                <a:pt x="4572" y="24384"/>
              </a:lnTo>
              <a:lnTo>
                <a:pt x="6143" y="16144"/>
              </a:lnTo>
              <a:lnTo>
                <a:pt x="10287" y="9906"/>
              </a:lnTo>
              <a:lnTo>
                <a:pt x="13801" y="7534"/>
              </a:lnTo>
              <a:lnTo>
                <a:pt x="9144" y="12192"/>
              </a:lnTo>
              <a:lnTo>
                <a:pt x="9144" y="35052"/>
              </a:lnTo>
              <a:lnTo>
                <a:pt x="14426" y="41655"/>
              </a:lnTo>
              <a:close/>
            </a:path>
            <a:path w="36830" h="44450">
              <a:moveTo>
                <a:pt x="28956" y="44196"/>
              </a:moveTo>
              <a:lnTo>
                <a:pt x="22860" y="44196"/>
              </a:lnTo>
              <a:lnTo>
                <a:pt x="16144" y="42814"/>
              </a:lnTo>
              <a:lnTo>
                <a:pt x="15933" y="42672"/>
              </a:lnTo>
              <a:lnTo>
                <a:pt x="27432" y="42672"/>
              </a:lnTo>
              <a:lnTo>
                <a:pt x="32004" y="39624"/>
              </a:lnTo>
              <a:lnTo>
                <a:pt x="35052" y="35052"/>
              </a:lnTo>
              <a:lnTo>
                <a:pt x="36576" y="36576"/>
              </a:lnTo>
              <a:lnTo>
                <a:pt x="33528" y="41148"/>
              </a:lnTo>
              <a:lnTo>
                <a:pt x="28956" y="44196"/>
              </a:lnTo>
              <a:close/>
            </a:path>
            <a:path w="36830" h="44450">
              <a:moveTo>
                <a:pt x="15933" y="42672"/>
              </a:moveTo>
              <a:lnTo>
                <a:pt x="15240" y="42672"/>
              </a:lnTo>
              <a:lnTo>
                <a:pt x="14426" y="41655"/>
              </a:lnTo>
              <a:lnTo>
                <a:pt x="15933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55</xdr:row>
      <xdr:rowOff>0</xdr:rowOff>
    </xdr:from>
    <xdr:ext cx="38100" cy="44450"/>
    <xdr:sp macro="" textlink="">
      <xdr:nvSpPr>
        <xdr:cNvPr id="21" name="Shape 920">
          <a:extLst>
            <a:ext uri="{FF2B5EF4-FFF2-40B4-BE49-F238E27FC236}">
              <a16:creationId xmlns:a16="http://schemas.microsoft.com/office/drawing/2014/main" id="{28C0E310-307C-4235-82D9-3325A8919EA7}"/>
            </a:ext>
          </a:extLst>
        </xdr:cNvPr>
        <xdr:cNvSpPr/>
      </xdr:nvSpPr>
      <xdr:spPr>
        <a:xfrm>
          <a:off x="8427720" y="9052560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4572" y="0"/>
              </a:lnTo>
              <a:lnTo>
                <a:pt x="6096" y="1524"/>
              </a:lnTo>
              <a:lnTo>
                <a:pt x="1524" y="1524"/>
              </a:lnTo>
              <a:lnTo>
                <a:pt x="1524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28956" y="44196"/>
              </a:moveTo>
              <a:lnTo>
                <a:pt x="22860" y="44196"/>
              </a:lnTo>
              <a:lnTo>
                <a:pt x="16144" y="42814"/>
              </a:lnTo>
              <a:lnTo>
                <a:pt x="10287" y="38862"/>
              </a:lnTo>
              <a:lnTo>
                <a:pt x="6143" y="32623"/>
              </a:lnTo>
              <a:lnTo>
                <a:pt x="4572" y="24384"/>
              </a:lnTo>
              <a:lnTo>
                <a:pt x="6143" y="16144"/>
              </a:lnTo>
              <a:lnTo>
                <a:pt x="10287" y="9906"/>
              </a:lnTo>
              <a:lnTo>
                <a:pt x="16144" y="5953"/>
              </a:lnTo>
              <a:lnTo>
                <a:pt x="22860" y="4572"/>
              </a:lnTo>
              <a:lnTo>
                <a:pt x="30480" y="4572"/>
              </a:lnTo>
              <a:lnTo>
                <a:pt x="35052" y="6096"/>
              </a:lnTo>
              <a:lnTo>
                <a:pt x="16764" y="6096"/>
              </a:lnTo>
              <a:lnTo>
                <a:pt x="9144" y="12192"/>
              </a:lnTo>
              <a:lnTo>
                <a:pt x="9144" y="35052"/>
              </a:lnTo>
              <a:lnTo>
                <a:pt x="16764" y="42672"/>
              </a:lnTo>
              <a:lnTo>
                <a:pt x="31242" y="42672"/>
              </a:lnTo>
              <a:lnTo>
                <a:pt x="28956" y="441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2004" y="7620"/>
              </a:lnTo>
              <a:lnTo>
                <a:pt x="28956" y="6096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31242" y="42672"/>
              </a:moveTo>
              <a:lnTo>
                <a:pt x="28956" y="42672"/>
              </a:lnTo>
              <a:lnTo>
                <a:pt x="33528" y="39624"/>
              </a:lnTo>
              <a:lnTo>
                <a:pt x="35052" y="35052"/>
              </a:lnTo>
              <a:lnTo>
                <a:pt x="38100" y="36576"/>
              </a:lnTo>
              <a:lnTo>
                <a:pt x="33528" y="41148"/>
              </a:lnTo>
              <a:lnTo>
                <a:pt x="31242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6</xdr:col>
      <xdr:colOff>0</xdr:colOff>
      <xdr:row>96</xdr:row>
      <xdr:rowOff>0</xdr:rowOff>
    </xdr:from>
    <xdr:ext cx="41275" cy="114300"/>
    <xdr:sp macro="" textlink="">
      <xdr:nvSpPr>
        <xdr:cNvPr id="22" name="Shape 911">
          <a:extLst>
            <a:ext uri="{FF2B5EF4-FFF2-40B4-BE49-F238E27FC236}">
              <a16:creationId xmlns:a16="http://schemas.microsoft.com/office/drawing/2014/main" id="{4E47AD04-7D6F-4452-B799-01BB7CB64F7D}"/>
            </a:ext>
          </a:extLst>
        </xdr:cNvPr>
        <xdr:cNvSpPr/>
      </xdr:nvSpPr>
      <xdr:spPr>
        <a:xfrm>
          <a:off x="3611880" y="15925800"/>
          <a:ext cx="41275" cy="114300"/>
        </a:xfrm>
        <a:custGeom>
          <a:avLst/>
          <a:gdLst/>
          <a:ahLst/>
          <a:cxnLst/>
          <a:rect l="0" t="0" r="0" b="0"/>
          <a:pathLst>
            <a:path w="41275" h="114300">
              <a:moveTo>
                <a:pt x="6096" y="3048"/>
              </a:moveTo>
              <a:lnTo>
                <a:pt x="5334" y="1524"/>
              </a:lnTo>
              <a:lnTo>
                <a:pt x="4572" y="0"/>
              </a:lnTo>
              <a:lnTo>
                <a:pt x="4572" y="1524"/>
              </a:lnTo>
              <a:lnTo>
                <a:pt x="4572" y="6096"/>
              </a:lnTo>
              <a:lnTo>
                <a:pt x="1524" y="6096"/>
              </a:lnTo>
              <a:lnTo>
                <a:pt x="1524" y="3048"/>
              </a:lnTo>
              <a:lnTo>
                <a:pt x="3048" y="1524"/>
              </a:lnTo>
              <a:lnTo>
                <a:pt x="4572" y="1524"/>
              </a:lnTo>
              <a:lnTo>
                <a:pt x="4572" y="0"/>
              </a:lnTo>
              <a:lnTo>
                <a:pt x="3048" y="0"/>
              </a:lnTo>
              <a:lnTo>
                <a:pt x="0" y="3048"/>
              </a:lnTo>
              <a:lnTo>
                <a:pt x="0" y="6096"/>
              </a:lnTo>
              <a:lnTo>
                <a:pt x="3048" y="7620"/>
              </a:lnTo>
              <a:lnTo>
                <a:pt x="4572" y="7620"/>
              </a:lnTo>
              <a:lnTo>
                <a:pt x="6096" y="6096"/>
              </a:lnTo>
              <a:lnTo>
                <a:pt x="6096" y="3048"/>
              </a:lnTo>
              <a:close/>
            </a:path>
            <a:path w="41275" h="114300">
              <a:moveTo>
                <a:pt x="9156" y="73139"/>
              </a:moveTo>
              <a:lnTo>
                <a:pt x="8394" y="71615"/>
              </a:lnTo>
              <a:lnTo>
                <a:pt x="7632" y="70091"/>
              </a:lnTo>
              <a:lnTo>
                <a:pt x="7632" y="71615"/>
              </a:lnTo>
              <a:lnTo>
                <a:pt x="7632" y="76187"/>
              </a:lnTo>
              <a:lnTo>
                <a:pt x="4584" y="76187"/>
              </a:lnTo>
              <a:lnTo>
                <a:pt x="4584" y="73139"/>
              </a:lnTo>
              <a:lnTo>
                <a:pt x="6108" y="71615"/>
              </a:lnTo>
              <a:lnTo>
                <a:pt x="7632" y="71615"/>
              </a:lnTo>
              <a:lnTo>
                <a:pt x="7632" y="70091"/>
              </a:lnTo>
              <a:lnTo>
                <a:pt x="6108" y="70091"/>
              </a:lnTo>
              <a:lnTo>
                <a:pt x="3060" y="73139"/>
              </a:lnTo>
              <a:lnTo>
                <a:pt x="3060" y="76187"/>
              </a:lnTo>
              <a:lnTo>
                <a:pt x="6108" y="77711"/>
              </a:lnTo>
              <a:lnTo>
                <a:pt x="7632" y="77711"/>
              </a:lnTo>
              <a:lnTo>
                <a:pt x="9156" y="76187"/>
              </a:lnTo>
              <a:lnTo>
                <a:pt x="9156" y="73139"/>
              </a:lnTo>
              <a:close/>
            </a:path>
            <a:path w="41275" h="114300">
              <a:moveTo>
                <a:pt x="16764" y="42672"/>
              </a:moveTo>
              <a:lnTo>
                <a:pt x="9144" y="36576"/>
              </a:lnTo>
              <a:lnTo>
                <a:pt x="9144" y="13716"/>
              </a:lnTo>
              <a:lnTo>
                <a:pt x="12192" y="10668"/>
              </a:lnTo>
              <a:lnTo>
                <a:pt x="14808" y="7975"/>
              </a:lnTo>
              <a:lnTo>
                <a:pt x="11049" y="10668"/>
              </a:lnTo>
              <a:lnTo>
                <a:pt x="6388" y="17424"/>
              </a:lnTo>
              <a:lnTo>
                <a:pt x="4572" y="25908"/>
              </a:lnTo>
              <a:lnTo>
                <a:pt x="6388" y="33909"/>
              </a:lnTo>
              <a:lnTo>
                <a:pt x="11049" y="39624"/>
              </a:lnTo>
              <a:lnTo>
                <a:pt x="16764" y="42672"/>
              </a:lnTo>
              <a:close/>
            </a:path>
            <a:path w="41275" h="114300">
              <a:moveTo>
                <a:pt x="17437" y="6096"/>
              </a:moveTo>
              <a:lnTo>
                <a:pt x="16764" y="6096"/>
              </a:lnTo>
              <a:lnTo>
                <a:pt x="15303" y="7620"/>
              </a:lnTo>
              <a:lnTo>
                <a:pt x="17437" y="6096"/>
              </a:lnTo>
              <a:close/>
            </a:path>
            <a:path w="41275" h="114300">
              <a:moveTo>
                <a:pt x="36576" y="13716"/>
              </a:moveTo>
              <a:lnTo>
                <a:pt x="35052" y="6096"/>
              </a:lnTo>
              <a:lnTo>
                <a:pt x="32004" y="6096"/>
              </a:lnTo>
              <a:lnTo>
                <a:pt x="28956" y="4572"/>
              </a:lnTo>
              <a:lnTo>
                <a:pt x="24384" y="4572"/>
              </a:lnTo>
              <a:lnTo>
                <a:pt x="17843" y="6096"/>
              </a:lnTo>
              <a:lnTo>
                <a:pt x="30480" y="6096"/>
              </a:lnTo>
              <a:lnTo>
                <a:pt x="33528" y="7620"/>
              </a:lnTo>
              <a:lnTo>
                <a:pt x="33629" y="7975"/>
              </a:lnTo>
              <a:lnTo>
                <a:pt x="35052" y="13716"/>
              </a:lnTo>
              <a:lnTo>
                <a:pt x="36576" y="13716"/>
              </a:lnTo>
              <a:close/>
            </a:path>
            <a:path w="41275" h="114300">
              <a:moveTo>
                <a:pt x="38100" y="36576"/>
              </a:moveTo>
              <a:lnTo>
                <a:pt x="36576" y="36576"/>
              </a:lnTo>
              <a:lnTo>
                <a:pt x="33528" y="41148"/>
              </a:lnTo>
              <a:lnTo>
                <a:pt x="28956" y="42672"/>
              </a:lnTo>
              <a:lnTo>
                <a:pt x="16764" y="42672"/>
              </a:lnTo>
              <a:lnTo>
                <a:pt x="17437" y="43053"/>
              </a:lnTo>
              <a:lnTo>
                <a:pt x="24384" y="44196"/>
              </a:lnTo>
              <a:lnTo>
                <a:pt x="30480" y="44196"/>
              </a:lnTo>
              <a:lnTo>
                <a:pt x="35052" y="42672"/>
              </a:lnTo>
              <a:lnTo>
                <a:pt x="38100" y="36576"/>
              </a:lnTo>
              <a:close/>
            </a:path>
            <a:path w="41275" h="114300">
              <a:moveTo>
                <a:pt x="39636" y="83807"/>
              </a:moveTo>
              <a:lnTo>
                <a:pt x="38112" y="76187"/>
              </a:lnTo>
              <a:lnTo>
                <a:pt x="35064" y="76187"/>
              </a:lnTo>
              <a:lnTo>
                <a:pt x="32016" y="74663"/>
              </a:lnTo>
              <a:lnTo>
                <a:pt x="27444" y="74663"/>
              </a:lnTo>
              <a:lnTo>
                <a:pt x="19900" y="76187"/>
              </a:lnTo>
              <a:lnTo>
                <a:pt x="18694" y="77317"/>
              </a:lnTo>
              <a:lnTo>
                <a:pt x="20485" y="76187"/>
              </a:lnTo>
              <a:lnTo>
                <a:pt x="32016" y="76187"/>
              </a:lnTo>
              <a:lnTo>
                <a:pt x="36588" y="77711"/>
              </a:lnTo>
              <a:lnTo>
                <a:pt x="38112" y="83807"/>
              </a:lnTo>
              <a:lnTo>
                <a:pt x="39636" y="83807"/>
              </a:lnTo>
              <a:close/>
            </a:path>
            <a:path w="41275" h="114300">
              <a:moveTo>
                <a:pt x="41160" y="106667"/>
              </a:moveTo>
              <a:lnTo>
                <a:pt x="39636" y="106667"/>
              </a:lnTo>
              <a:lnTo>
                <a:pt x="36588" y="111239"/>
              </a:lnTo>
              <a:lnTo>
                <a:pt x="32016" y="112763"/>
              </a:lnTo>
              <a:lnTo>
                <a:pt x="19824" y="112763"/>
              </a:lnTo>
              <a:lnTo>
                <a:pt x="12204" y="106667"/>
              </a:lnTo>
              <a:lnTo>
                <a:pt x="12204" y="83807"/>
              </a:lnTo>
              <a:lnTo>
                <a:pt x="18694" y="77317"/>
              </a:lnTo>
              <a:lnTo>
                <a:pt x="14109" y="80187"/>
              </a:lnTo>
              <a:lnTo>
                <a:pt x="9436" y="86880"/>
              </a:lnTo>
              <a:lnTo>
                <a:pt x="7632" y="95999"/>
              </a:lnTo>
              <a:lnTo>
                <a:pt x="9220" y="104000"/>
              </a:lnTo>
              <a:lnTo>
                <a:pt x="13538" y="109715"/>
              </a:lnTo>
              <a:lnTo>
                <a:pt x="19837" y="113144"/>
              </a:lnTo>
              <a:lnTo>
                <a:pt x="27444" y="114287"/>
              </a:lnTo>
              <a:lnTo>
                <a:pt x="33540" y="114287"/>
              </a:lnTo>
              <a:lnTo>
                <a:pt x="38112" y="112763"/>
              </a:lnTo>
              <a:lnTo>
                <a:pt x="41160" y="106667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7</xdr:col>
      <xdr:colOff>77215</xdr:colOff>
      <xdr:row>96</xdr:row>
      <xdr:rowOff>0</xdr:rowOff>
    </xdr:from>
    <xdr:ext cx="38100" cy="44450"/>
    <xdr:sp macro="" textlink="">
      <xdr:nvSpPr>
        <xdr:cNvPr id="23" name="Shape 912">
          <a:extLst>
            <a:ext uri="{FF2B5EF4-FFF2-40B4-BE49-F238E27FC236}">
              <a16:creationId xmlns:a16="http://schemas.microsoft.com/office/drawing/2014/main" id="{6ADC2EBF-3BC2-46BD-BF59-76C23BC2C261}"/>
            </a:ext>
          </a:extLst>
        </xdr:cNvPr>
        <xdr:cNvSpPr/>
      </xdr:nvSpPr>
      <xdr:spPr>
        <a:xfrm>
          <a:off x="4291075" y="15925800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6024"/>
              </a:lnTo>
              <a:lnTo>
                <a:pt x="0" y="3048"/>
              </a:lnTo>
              <a:lnTo>
                <a:pt x="1524" y="0"/>
              </a:lnTo>
              <a:lnTo>
                <a:pt x="4572" y="0"/>
              </a:lnTo>
              <a:lnTo>
                <a:pt x="5334" y="1524"/>
              </a:lnTo>
              <a:lnTo>
                <a:pt x="1524" y="1524"/>
              </a:lnTo>
              <a:lnTo>
                <a:pt x="1524" y="6024"/>
              </a:lnTo>
              <a:lnTo>
                <a:pt x="6167" y="6024"/>
              </a:lnTo>
              <a:lnTo>
                <a:pt x="4572" y="7620"/>
              </a:lnTo>
              <a:close/>
            </a:path>
            <a:path w="38100" h="44450">
              <a:moveTo>
                <a:pt x="6096" y="6024"/>
              </a:moveTo>
              <a:lnTo>
                <a:pt x="4572" y="6024"/>
              </a:lnTo>
              <a:lnTo>
                <a:pt x="4572" y="1524"/>
              </a:lnTo>
              <a:lnTo>
                <a:pt x="5334" y="1524"/>
              </a:lnTo>
              <a:lnTo>
                <a:pt x="6096" y="3048"/>
              </a:lnTo>
              <a:lnTo>
                <a:pt x="6096" y="6024"/>
              </a:lnTo>
              <a:close/>
            </a:path>
            <a:path w="38100" h="44450">
              <a:moveTo>
                <a:pt x="30408" y="6024"/>
              </a:moveTo>
              <a:lnTo>
                <a:pt x="16835" y="6024"/>
              </a:lnTo>
              <a:lnTo>
                <a:pt x="22860" y="4572"/>
              </a:lnTo>
              <a:lnTo>
                <a:pt x="28956" y="4572"/>
              </a:lnTo>
              <a:lnTo>
                <a:pt x="30408" y="6024"/>
              </a:lnTo>
              <a:close/>
            </a:path>
            <a:path w="38100" h="44450">
              <a:moveTo>
                <a:pt x="28956" y="44196"/>
              </a:moveTo>
              <a:lnTo>
                <a:pt x="24384" y="44196"/>
              </a:lnTo>
              <a:lnTo>
                <a:pt x="16787" y="43053"/>
              </a:lnTo>
              <a:lnTo>
                <a:pt x="10477" y="39624"/>
              </a:lnTo>
              <a:lnTo>
                <a:pt x="6167" y="33909"/>
              </a:lnTo>
              <a:lnTo>
                <a:pt x="4572" y="25908"/>
              </a:lnTo>
              <a:lnTo>
                <a:pt x="6143" y="17430"/>
              </a:lnTo>
              <a:lnTo>
                <a:pt x="10287" y="10668"/>
              </a:lnTo>
              <a:lnTo>
                <a:pt x="16362" y="6024"/>
              </a:lnTo>
              <a:lnTo>
                <a:pt x="16771" y="6024"/>
              </a:lnTo>
              <a:lnTo>
                <a:pt x="9144" y="13716"/>
              </a:lnTo>
              <a:lnTo>
                <a:pt x="9144" y="36576"/>
              </a:lnTo>
              <a:lnTo>
                <a:pt x="16764" y="42672"/>
              </a:lnTo>
              <a:lnTo>
                <a:pt x="35052" y="42672"/>
              </a:lnTo>
              <a:lnTo>
                <a:pt x="28956" y="441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28742" y="6024"/>
              </a:lnTo>
              <a:lnTo>
                <a:pt x="35037" y="6024"/>
              </a:lnTo>
              <a:lnTo>
                <a:pt x="36576" y="13716"/>
              </a:lnTo>
              <a:close/>
            </a:path>
            <a:path w="38100" h="44450">
              <a:moveTo>
                <a:pt x="35052" y="42672"/>
              </a:moveTo>
              <a:lnTo>
                <a:pt x="28956" y="42672"/>
              </a:lnTo>
              <a:lnTo>
                <a:pt x="33528" y="41148"/>
              </a:lnTo>
              <a:lnTo>
                <a:pt x="35052" y="36576"/>
              </a:lnTo>
              <a:lnTo>
                <a:pt x="38100" y="36576"/>
              </a:lnTo>
              <a:lnTo>
                <a:pt x="35052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9</xdr:col>
      <xdr:colOff>29463</xdr:colOff>
      <xdr:row>96</xdr:row>
      <xdr:rowOff>0</xdr:rowOff>
    </xdr:from>
    <xdr:ext cx="38100" cy="44450"/>
    <xdr:sp macro="" textlink="">
      <xdr:nvSpPr>
        <xdr:cNvPr id="24" name="Shape 913">
          <a:extLst>
            <a:ext uri="{FF2B5EF4-FFF2-40B4-BE49-F238E27FC236}">
              <a16:creationId xmlns:a16="http://schemas.microsoft.com/office/drawing/2014/main" id="{33C4B81F-3D8C-40D8-83EC-142C7CBC2B5E}"/>
            </a:ext>
          </a:extLst>
        </xdr:cNvPr>
        <xdr:cNvSpPr/>
      </xdr:nvSpPr>
      <xdr:spPr>
        <a:xfrm>
          <a:off x="5447283" y="15925800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3048" y="7620"/>
              </a:lnTo>
              <a:lnTo>
                <a:pt x="0" y="6096"/>
              </a:lnTo>
              <a:lnTo>
                <a:pt x="0" y="3048"/>
              </a:lnTo>
              <a:lnTo>
                <a:pt x="3048" y="0"/>
              </a:lnTo>
              <a:lnTo>
                <a:pt x="4572" y="0"/>
              </a:lnTo>
              <a:lnTo>
                <a:pt x="5334" y="1524"/>
              </a:lnTo>
              <a:lnTo>
                <a:pt x="3048" y="1524"/>
              </a:lnTo>
              <a:lnTo>
                <a:pt x="1524" y="3048"/>
              </a:lnTo>
              <a:lnTo>
                <a:pt x="1524" y="6096"/>
              </a:lnTo>
              <a:lnTo>
                <a:pt x="6096" y="6096"/>
              </a:lnTo>
              <a:lnTo>
                <a:pt x="4572" y="7620"/>
              </a:lnTo>
              <a:close/>
            </a:path>
            <a:path w="38100" h="44450">
              <a:moveTo>
                <a:pt x="6096" y="6096"/>
              </a:moveTo>
              <a:lnTo>
                <a:pt x="4572" y="6096"/>
              </a:lnTo>
              <a:lnTo>
                <a:pt x="4572" y="1524"/>
              </a:lnTo>
              <a:lnTo>
                <a:pt x="5334" y="1524"/>
              </a:lnTo>
              <a:lnTo>
                <a:pt x="6096" y="3048"/>
              </a:lnTo>
              <a:lnTo>
                <a:pt x="6096" y="6096"/>
              </a:lnTo>
              <a:close/>
            </a:path>
            <a:path w="38100" h="44450">
              <a:moveTo>
                <a:pt x="32004" y="6096"/>
              </a:moveTo>
              <a:lnTo>
                <a:pt x="17839" y="6096"/>
              </a:lnTo>
              <a:lnTo>
                <a:pt x="24384" y="4572"/>
              </a:lnTo>
              <a:lnTo>
                <a:pt x="28956" y="4572"/>
              </a:lnTo>
              <a:lnTo>
                <a:pt x="32004" y="6096"/>
              </a:lnTo>
              <a:close/>
            </a:path>
            <a:path w="38100" h="44450">
              <a:moveTo>
                <a:pt x="15303" y="7620"/>
              </a:moveTo>
              <a:lnTo>
                <a:pt x="16764" y="6096"/>
              </a:lnTo>
              <a:lnTo>
                <a:pt x="17430" y="6096"/>
              </a:lnTo>
              <a:lnTo>
                <a:pt x="15303" y="7620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618" y="7981"/>
              </a:lnTo>
              <a:lnTo>
                <a:pt x="33528" y="7620"/>
              </a:lnTo>
              <a:lnTo>
                <a:pt x="30480" y="6096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16764" y="42672"/>
              </a:moveTo>
              <a:lnTo>
                <a:pt x="11049" y="39624"/>
              </a:lnTo>
              <a:lnTo>
                <a:pt x="6381" y="33909"/>
              </a:lnTo>
              <a:lnTo>
                <a:pt x="4572" y="25908"/>
              </a:lnTo>
              <a:lnTo>
                <a:pt x="6381" y="17430"/>
              </a:lnTo>
              <a:lnTo>
                <a:pt x="11049" y="10668"/>
              </a:lnTo>
              <a:lnTo>
                <a:pt x="14798" y="7981"/>
              </a:lnTo>
              <a:lnTo>
                <a:pt x="12192" y="10668"/>
              </a:lnTo>
              <a:lnTo>
                <a:pt x="9144" y="13716"/>
              </a:lnTo>
              <a:lnTo>
                <a:pt x="9144" y="36576"/>
              </a:lnTo>
              <a:lnTo>
                <a:pt x="16764" y="42672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7430" y="43053"/>
              </a:lnTo>
              <a:lnTo>
                <a:pt x="16721" y="42672"/>
              </a:lnTo>
              <a:lnTo>
                <a:pt x="28956" y="42672"/>
              </a:lnTo>
              <a:lnTo>
                <a:pt x="33528" y="41148"/>
              </a:lnTo>
              <a:lnTo>
                <a:pt x="36576" y="36576"/>
              </a:lnTo>
              <a:lnTo>
                <a:pt x="38100" y="36576"/>
              </a:lnTo>
              <a:lnTo>
                <a:pt x="35052" y="42672"/>
              </a:lnTo>
              <a:lnTo>
                <a:pt x="30480" y="44196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6</xdr:col>
      <xdr:colOff>92582</xdr:colOff>
      <xdr:row>96</xdr:row>
      <xdr:rowOff>0</xdr:rowOff>
    </xdr:from>
    <xdr:ext cx="36830" cy="44450"/>
    <xdr:sp macro="" textlink="">
      <xdr:nvSpPr>
        <xdr:cNvPr id="25" name="Shape 914">
          <a:extLst>
            <a:ext uri="{FF2B5EF4-FFF2-40B4-BE49-F238E27FC236}">
              <a16:creationId xmlns:a16="http://schemas.microsoft.com/office/drawing/2014/main" id="{D3E4D094-45E3-44E5-86E2-4EFC3CCD35ED}"/>
            </a:ext>
          </a:extLst>
        </xdr:cNvPr>
        <xdr:cNvSpPr/>
      </xdr:nvSpPr>
      <xdr:spPr>
        <a:xfrm>
          <a:off x="3704462" y="15925800"/>
          <a:ext cx="36830" cy="44450"/>
        </a:xfrm>
        <a:custGeom>
          <a:avLst/>
          <a:gdLst/>
          <a:ahLst/>
          <a:cxnLst/>
          <a:rect l="0" t="0" r="0" b="0"/>
          <a:pathLst>
            <a:path w="36830" h="44450">
              <a:moveTo>
                <a:pt x="3048" y="7620"/>
              </a:moveTo>
              <a:lnTo>
                <a:pt x="1524" y="7620"/>
              </a:lnTo>
              <a:lnTo>
                <a:pt x="0" y="6096"/>
              </a:lnTo>
              <a:lnTo>
                <a:pt x="0" y="3048"/>
              </a:lnTo>
              <a:lnTo>
                <a:pt x="1524" y="0"/>
              </a:lnTo>
              <a:lnTo>
                <a:pt x="3048" y="0"/>
              </a:lnTo>
              <a:lnTo>
                <a:pt x="4572" y="1524"/>
              </a:lnTo>
              <a:lnTo>
                <a:pt x="1524" y="1524"/>
              </a:lnTo>
              <a:lnTo>
                <a:pt x="1524" y="6096"/>
              </a:lnTo>
              <a:lnTo>
                <a:pt x="6096" y="6096"/>
              </a:lnTo>
              <a:lnTo>
                <a:pt x="3048" y="7620"/>
              </a:lnTo>
              <a:close/>
            </a:path>
            <a:path w="36830" h="44450">
              <a:moveTo>
                <a:pt x="6096" y="6096"/>
              </a:moveTo>
              <a:lnTo>
                <a:pt x="4572" y="6096"/>
              </a:lnTo>
              <a:lnTo>
                <a:pt x="4572" y="3048"/>
              </a:lnTo>
              <a:lnTo>
                <a:pt x="3048" y="1524"/>
              </a:lnTo>
              <a:lnTo>
                <a:pt x="4572" y="1524"/>
              </a:lnTo>
              <a:lnTo>
                <a:pt x="6096" y="3048"/>
              </a:lnTo>
              <a:lnTo>
                <a:pt x="6096" y="6096"/>
              </a:lnTo>
              <a:close/>
            </a:path>
            <a:path w="36830" h="44450">
              <a:moveTo>
                <a:pt x="30480" y="6096"/>
              </a:moveTo>
              <a:lnTo>
                <a:pt x="15575" y="6096"/>
              </a:lnTo>
              <a:lnTo>
                <a:pt x="22860" y="4572"/>
              </a:lnTo>
              <a:lnTo>
                <a:pt x="27432" y="4572"/>
              </a:lnTo>
              <a:lnTo>
                <a:pt x="30480" y="6096"/>
              </a:lnTo>
              <a:close/>
            </a:path>
            <a:path w="36830" h="44450">
              <a:moveTo>
                <a:pt x="14413" y="7278"/>
              </a:moveTo>
              <a:lnTo>
                <a:pt x="15240" y="6096"/>
              </a:lnTo>
              <a:lnTo>
                <a:pt x="16144" y="6096"/>
              </a:lnTo>
              <a:lnTo>
                <a:pt x="14413" y="7278"/>
              </a:lnTo>
              <a:close/>
            </a:path>
            <a:path w="36830" h="44450">
              <a:moveTo>
                <a:pt x="35052" y="13716"/>
              </a:moveTo>
              <a:lnTo>
                <a:pt x="33528" y="13716"/>
              </a:lnTo>
              <a:lnTo>
                <a:pt x="32004" y="7620"/>
              </a:lnTo>
              <a:lnTo>
                <a:pt x="28956" y="6096"/>
              </a:lnTo>
              <a:lnTo>
                <a:pt x="35052" y="6096"/>
              </a:lnTo>
              <a:lnTo>
                <a:pt x="35052" y="13716"/>
              </a:lnTo>
              <a:close/>
            </a:path>
            <a:path w="36830" h="44450">
              <a:moveTo>
                <a:pt x="14881" y="42313"/>
              </a:moveTo>
              <a:lnTo>
                <a:pt x="10287" y="39624"/>
              </a:lnTo>
              <a:lnTo>
                <a:pt x="6143" y="33909"/>
              </a:lnTo>
              <a:lnTo>
                <a:pt x="4572" y="25908"/>
              </a:lnTo>
              <a:lnTo>
                <a:pt x="6143" y="16787"/>
              </a:lnTo>
              <a:lnTo>
                <a:pt x="10287" y="10096"/>
              </a:lnTo>
              <a:lnTo>
                <a:pt x="13913" y="7620"/>
              </a:lnTo>
              <a:lnTo>
                <a:pt x="12039" y="10096"/>
              </a:lnTo>
              <a:lnTo>
                <a:pt x="9144" y="13716"/>
              </a:lnTo>
              <a:lnTo>
                <a:pt x="9144" y="36576"/>
              </a:lnTo>
              <a:lnTo>
                <a:pt x="14881" y="42313"/>
              </a:lnTo>
              <a:close/>
            </a:path>
            <a:path w="36830" h="44450">
              <a:moveTo>
                <a:pt x="28956" y="44196"/>
              </a:moveTo>
              <a:lnTo>
                <a:pt x="22860" y="44196"/>
              </a:lnTo>
              <a:lnTo>
                <a:pt x="16144" y="43053"/>
              </a:lnTo>
              <a:lnTo>
                <a:pt x="15494" y="42672"/>
              </a:lnTo>
              <a:lnTo>
                <a:pt x="27432" y="42672"/>
              </a:lnTo>
              <a:lnTo>
                <a:pt x="32004" y="41148"/>
              </a:lnTo>
              <a:lnTo>
                <a:pt x="35052" y="36576"/>
              </a:lnTo>
              <a:lnTo>
                <a:pt x="36576" y="36576"/>
              </a:lnTo>
              <a:lnTo>
                <a:pt x="33528" y="42672"/>
              </a:lnTo>
              <a:lnTo>
                <a:pt x="28956" y="44196"/>
              </a:lnTo>
              <a:close/>
            </a:path>
            <a:path w="36830" h="44450">
              <a:moveTo>
                <a:pt x="15494" y="42672"/>
              </a:moveTo>
              <a:lnTo>
                <a:pt x="15240" y="42672"/>
              </a:lnTo>
              <a:lnTo>
                <a:pt x="14881" y="42313"/>
              </a:lnTo>
              <a:lnTo>
                <a:pt x="15494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6</xdr:col>
      <xdr:colOff>537322</xdr:colOff>
      <xdr:row>1</xdr:row>
      <xdr:rowOff>35857</xdr:rowOff>
    </xdr:from>
    <xdr:ext cx="3420907" cy="461560"/>
    <xdr:pic>
      <xdr:nvPicPr>
        <xdr:cNvPr id="26" name="Picture 25">
          <a:extLst>
            <a:ext uri="{FF2B5EF4-FFF2-40B4-BE49-F238E27FC236}">
              <a16:creationId xmlns:a16="http://schemas.microsoft.com/office/drawing/2014/main" id="{CA21DB7B-23DC-4899-8217-C84C8A7F5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9202" y="203497"/>
          <a:ext cx="3420907" cy="461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27463</xdr:colOff>
      <xdr:row>1</xdr:row>
      <xdr:rowOff>32367</xdr:rowOff>
    </xdr:from>
    <xdr:ext cx="4027897" cy="1908616"/>
    <xdr:pic>
      <xdr:nvPicPr>
        <xdr:cNvPr id="2" name="Picture 1">
          <a:extLst>
            <a:ext uri="{FF2B5EF4-FFF2-40B4-BE49-F238E27FC236}">
              <a16:creationId xmlns:a16="http://schemas.microsoft.com/office/drawing/2014/main" id="{DF30380A-D59E-4788-9A08-41258C88B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7208" r="14"/>
        <a:stretch>
          <a:fillRect/>
        </a:stretch>
      </xdr:blipFill>
      <xdr:spPr>
        <a:xfrm>
          <a:off x="397033" y="249537"/>
          <a:ext cx="4027897" cy="1908616"/>
        </a:xfrm>
        <a:prstGeom prst="rect">
          <a:avLst/>
        </a:prstGeom>
      </xdr:spPr>
    </xdr:pic>
    <xdr:clientData/>
  </xdr:oneCellAnchor>
  <xdr:oneCellAnchor>
    <xdr:from>
      <xdr:col>4</xdr:col>
      <xdr:colOff>110477</xdr:colOff>
      <xdr:row>96</xdr:row>
      <xdr:rowOff>0</xdr:rowOff>
    </xdr:from>
    <xdr:ext cx="41275" cy="114300"/>
    <xdr:sp macro="" textlink="">
      <xdr:nvSpPr>
        <xdr:cNvPr id="3" name="Shape 911">
          <a:extLst>
            <a:ext uri="{FF2B5EF4-FFF2-40B4-BE49-F238E27FC236}">
              <a16:creationId xmlns:a16="http://schemas.microsoft.com/office/drawing/2014/main" id="{3EB7E91E-18DA-48CD-86DE-05319B7301B8}"/>
            </a:ext>
          </a:extLst>
        </xdr:cNvPr>
        <xdr:cNvSpPr/>
      </xdr:nvSpPr>
      <xdr:spPr>
        <a:xfrm>
          <a:off x="3842372" y="21135975"/>
          <a:ext cx="41275" cy="114300"/>
        </a:xfrm>
        <a:custGeom>
          <a:avLst/>
          <a:gdLst/>
          <a:ahLst/>
          <a:cxnLst/>
          <a:rect l="0" t="0" r="0" b="0"/>
          <a:pathLst>
            <a:path w="41275" h="114300">
              <a:moveTo>
                <a:pt x="6096" y="3048"/>
              </a:moveTo>
              <a:lnTo>
                <a:pt x="5334" y="1524"/>
              </a:lnTo>
              <a:lnTo>
                <a:pt x="4572" y="0"/>
              </a:lnTo>
              <a:lnTo>
                <a:pt x="4572" y="1524"/>
              </a:lnTo>
              <a:lnTo>
                <a:pt x="4572" y="6096"/>
              </a:lnTo>
              <a:lnTo>
                <a:pt x="1524" y="6096"/>
              </a:lnTo>
              <a:lnTo>
                <a:pt x="1524" y="3048"/>
              </a:lnTo>
              <a:lnTo>
                <a:pt x="3048" y="1524"/>
              </a:lnTo>
              <a:lnTo>
                <a:pt x="4572" y="1524"/>
              </a:lnTo>
              <a:lnTo>
                <a:pt x="4572" y="0"/>
              </a:lnTo>
              <a:lnTo>
                <a:pt x="3048" y="0"/>
              </a:lnTo>
              <a:lnTo>
                <a:pt x="0" y="3048"/>
              </a:lnTo>
              <a:lnTo>
                <a:pt x="0" y="6096"/>
              </a:lnTo>
              <a:lnTo>
                <a:pt x="3048" y="7620"/>
              </a:lnTo>
              <a:lnTo>
                <a:pt x="4572" y="7620"/>
              </a:lnTo>
              <a:lnTo>
                <a:pt x="6096" y="6096"/>
              </a:lnTo>
              <a:lnTo>
                <a:pt x="6096" y="3048"/>
              </a:lnTo>
              <a:close/>
            </a:path>
            <a:path w="41275" h="114300">
              <a:moveTo>
                <a:pt x="9156" y="73139"/>
              </a:moveTo>
              <a:lnTo>
                <a:pt x="8394" y="71615"/>
              </a:lnTo>
              <a:lnTo>
                <a:pt x="7632" y="70091"/>
              </a:lnTo>
              <a:lnTo>
                <a:pt x="7632" y="71615"/>
              </a:lnTo>
              <a:lnTo>
                <a:pt x="7632" y="76187"/>
              </a:lnTo>
              <a:lnTo>
                <a:pt x="4584" y="76187"/>
              </a:lnTo>
              <a:lnTo>
                <a:pt x="4584" y="73139"/>
              </a:lnTo>
              <a:lnTo>
                <a:pt x="6108" y="71615"/>
              </a:lnTo>
              <a:lnTo>
                <a:pt x="7632" y="71615"/>
              </a:lnTo>
              <a:lnTo>
                <a:pt x="7632" y="70091"/>
              </a:lnTo>
              <a:lnTo>
                <a:pt x="6108" y="70091"/>
              </a:lnTo>
              <a:lnTo>
                <a:pt x="3060" y="73139"/>
              </a:lnTo>
              <a:lnTo>
                <a:pt x="3060" y="76187"/>
              </a:lnTo>
              <a:lnTo>
                <a:pt x="6108" y="77711"/>
              </a:lnTo>
              <a:lnTo>
                <a:pt x="7632" y="77711"/>
              </a:lnTo>
              <a:lnTo>
                <a:pt x="9156" y="76187"/>
              </a:lnTo>
              <a:lnTo>
                <a:pt x="9156" y="73139"/>
              </a:lnTo>
              <a:close/>
            </a:path>
            <a:path w="41275" h="114300">
              <a:moveTo>
                <a:pt x="16764" y="42672"/>
              </a:moveTo>
              <a:lnTo>
                <a:pt x="9144" y="36576"/>
              </a:lnTo>
              <a:lnTo>
                <a:pt x="9144" y="13716"/>
              </a:lnTo>
              <a:lnTo>
                <a:pt x="12192" y="10668"/>
              </a:lnTo>
              <a:lnTo>
                <a:pt x="14808" y="7975"/>
              </a:lnTo>
              <a:lnTo>
                <a:pt x="11049" y="10668"/>
              </a:lnTo>
              <a:lnTo>
                <a:pt x="6388" y="17424"/>
              </a:lnTo>
              <a:lnTo>
                <a:pt x="4572" y="25908"/>
              </a:lnTo>
              <a:lnTo>
                <a:pt x="6388" y="33909"/>
              </a:lnTo>
              <a:lnTo>
                <a:pt x="11049" y="39624"/>
              </a:lnTo>
              <a:lnTo>
                <a:pt x="16764" y="42672"/>
              </a:lnTo>
              <a:close/>
            </a:path>
            <a:path w="41275" h="114300">
              <a:moveTo>
                <a:pt x="17437" y="6096"/>
              </a:moveTo>
              <a:lnTo>
                <a:pt x="16764" y="6096"/>
              </a:lnTo>
              <a:lnTo>
                <a:pt x="15303" y="7620"/>
              </a:lnTo>
              <a:lnTo>
                <a:pt x="17437" y="6096"/>
              </a:lnTo>
              <a:close/>
            </a:path>
            <a:path w="41275" h="114300">
              <a:moveTo>
                <a:pt x="36576" y="13716"/>
              </a:moveTo>
              <a:lnTo>
                <a:pt x="35052" y="6096"/>
              </a:lnTo>
              <a:lnTo>
                <a:pt x="32004" y="6096"/>
              </a:lnTo>
              <a:lnTo>
                <a:pt x="28956" y="4572"/>
              </a:lnTo>
              <a:lnTo>
                <a:pt x="24384" y="4572"/>
              </a:lnTo>
              <a:lnTo>
                <a:pt x="17843" y="6096"/>
              </a:lnTo>
              <a:lnTo>
                <a:pt x="30480" y="6096"/>
              </a:lnTo>
              <a:lnTo>
                <a:pt x="33528" y="7620"/>
              </a:lnTo>
              <a:lnTo>
                <a:pt x="33629" y="7975"/>
              </a:lnTo>
              <a:lnTo>
                <a:pt x="35052" y="13716"/>
              </a:lnTo>
              <a:lnTo>
                <a:pt x="36576" y="13716"/>
              </a:lnTo>
              <a:close/>
            </a:path>
            <a:path w="41275" h="114300">
              <a:moveTo>
                <a:pt x="38100" y="36576"/>
              </a:moveTo>
              <a:lnTo>
                <a:pt x="36576" y="36576"/>
              </a:lnTo>
              <a:lnTo>
                <a:pt x="33528" y="41148"/>
              </a:lnTo>
              <a:lnTo>
                <a:pt x="28956" y="42672"/>
              </a:lnTo>
              <a:lnTo>
                <a:pt x="16764" y="42672"/>
              </a:lnTo>
              <a:lnTo>
                <a:pt x="17437" y="43053"/>
              </a:lnTo>
              <a:lnTo>
                <a:pt x="24384" y="44196"/>
              </a:lnTo>
              <a:lnTo>
                <a:pt x="30480" y="44196"/>
              </a:lnTo>
              <a:lnTo>
                <a:pt x="35052" y="42672"/>
              </a:lnTo>
              <a:lnTo>
                <a:pt x="38100" y="36576"/>
              </a:lnTo>
              <a:close/>
            </a:path>
            <a:path w="41275" h="114300">
              <a:moveTo>
                <a:pt x="39636" y="83807"/>
              </a:moveTo>
              <a:lnTo>
                <a:pt x="38112" y="76187"/>
              </a:lnTo>
              <a:lnTo>
                <a:pt x="35064" y="76187"/>
              </a:lnTo>
              <a:lnTo>
                <a:pt x="32016" y="74663"/>
              </a:lnTo>
              <a:lnTo>
                <a:pt x="27444" y="74663"/>
              </a:lnTo>
              <a:lnTo>
                <a:pt x="19900" y="76187"/>
              </a:lnTo>
              <a:lnTo>
                <a:pt x="18694" y="77317"/>
              </a:lnTo>
              <a:lnTo>
                <a:pt x="20485" y="76187"/>
              </a:lnTo>
              <a:lnTo>
                <a:pt x="32016" y="76187"/>
              </a:lnTo>
              <a:lnTo>
                <a:pt x="36588" y="77711"/>
              </a:lnTo>
              <a:lnTo>
                <a:pt x="38112" y="83807"/>
              </a:lnTo>
              <a:lnTo>
                <a:pt x="39636" y="83807"/>
              </a:lnTo>
              <a:close/>
            </a:path>
            <a:path w="41275" h="114300">
              <a:moveTo>
                <a:pt x="41160" y="106667"/>
              </a:moveTo>
              <a:lnTo>
                <a:pt x="39636" y="106667"/>
              </a:lnTo>
              <a:lnTo>
                <a:pt x="36588" y="111239"/>
              </a:lnTo>
              <a:lnTo>
                <a:pt x="32016" y="112763"/>
              </a:lnTo>
              <a:lnTo>
                <a:pt x="19824" y="112763"/>
              </a:lnTo>
              <a:lnTo>
                <a:pt x="12204" y="106667"/>
              </a:lnTo>
              <a:lnTo>
                <a:pt x="12204" y="83807"/>
              </a:lnTo>
              <a:lnTo>
                <a:pt x="18694" y="77317"/>
              </a:lnTo>
              <a:lnTo>
                <a:pt x="14109" y="80187"/>
              </a:lnTo>
              <a:lnTo>
                <a:pt x="9436" y="86880"/>
              </a:lnTo>
              <a:lnTo>
                <a:pt x="7632" y="95999"/>
              </a:lnTo>
              <a:lnTo>
                <a:pt x="9220" y="104000"/>
              </a:lnTo>
              <a:lnTo>
                <a:pt x="13538" y="109715"/>
              </a:lnTo>
              <a:lnTo>
                <a:pt x="19837" y="113144"/>
              </a:lnTo>
              <a:lnTo>
                <a:pt x="27444" y="114287"/>
              </a:lnTo>
              <a:lnTo>
                <a:pt x="33540" y="114287"/>
              </a:lnTo>
              <a:lnTo>
                <a:pt x="38112" y="112763"/>
              </a:lnTo>
              <a:lnTo>
                <a:pt x="41160" y="106667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7</xdr:col>
      <xdr:colOff>77215</xdr:colOff>
      <xdr:row>96</xdr:row>
      <xdr:rowOff>0</xdr:rowOff>
    </xdr:from>
    <xdr:ext cx="38100" cy="44450"/>
    <xdr:sp macro="" textlink="">
      <xdr:nvSpPr>
        <xdr:cNvPr id="4" name="Shape 912">
          <a:extLst>
            <a:ext uri="{FF2B5EF4-FFF2-40B4-BE49-F238E27FC236}">
              <a16:creationId xmlns:a16="http://schemas.microsoft.com/office/drawing/2014/main" id="{505FE4BB-DE26-41A6-8542-5B2B0AF0393D}"/>
            </a:ext>
          </a:extLst>
        </xdr:cNvPr>
        <xdr:cNvSpPr/>
      </xdr:nvSpPr>
      <xdr:spPr>
        <a:xfrm>
          <a:off x="7182865" y="21135975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6024"/>
              </a:lnTo>
              <a:lnTo>
                <a:pt x="0" y="3048"/>
              </a:lnTo>
              <a:lnTo>
                <a:pt x="1524" y="0"/>
              </a:lnTo>
              <a:lnTo>
                <a:pt x="4572" y="0"/>
              </a:lnTo>
              <a:lnTo>
                <a:pt x="5334" y="1524"/>
              </a:lnTo>
              <a:lnTo>
                <a:pt x="1524" y="1524"/>
              </a:lnTo>
              <a:lnTo>
                <a:pt x="1524" y="6024"/>
              </a:lnTo>
              <a:lnTo>
                <a:pt x="6167" y="6024"/>
              </a:lnTo>
              <a:lnTo>
                <a:pt x="4572" y="7620"/>
              </a:lnTo>
              <a:close/>
            </a:path>
            <a:path w="38100" h="44450">
              <a:moveTo>
                <a:pt x="6096" y="6024"/>
              </a:moveTo>
              <a:lnTo>
                <a:pt x="4572" y="6024"/>
              </a:lnTo>
              <a:lnTo>
                <a:pt x="4572" y="1524"/>
              </a:lnTo>
              <a:lnTo>
                <a:pt x="5334" y="1524"/>
              </a:lnTo>
              <a:lnTo>
                <a:pt x="6096" y="3048"/>
              </a:lnTo>
              <a:lnTo>
                <a:pt x="6096" y="6024"/>
              </a:lnTo>
              <a:close/>
            </a:path>
            <a:path w="38100" h="44450">
              <a:moveTo>
                <a:pt x="30408" y="6024"/>
              </a:moveTo>
              <a:lnTo>
                <a:pt x="16835" y="6024"/>
              </a:lnTo>
              <a:lnTo>
                <a:pt x="22860" y="4572"/>
              </a:lnTo>
              <a:lnTo>
                <a:pt x="28956" y="4572"/>
              </a:lnTo>
              <a:lnTo>
                <a:pt x="30408" y="6024"/>
              </a:lnTo>
              <a:close/>
            </a:path>
            <a:path w="38100" h="44450">
              <a:moveTo>
                <a:pt x="28956" y="44196"/>
              </a:moveTo>
              <a:lnTo>
                <a:pt x="24384" y="44196"/>
              </a:lnTo>
              <a:lnTo>
                <a:pt x="16787" y="43053"/>
              </a:lnTo>
              <a:lnTo>
                <a:pt x="10477" y="39624"/>
              </a:lnTo>
              <a:lnTo>
                <a:pt x="6167" y="33909"/>
              </a:lnTo>
              <a:lnTo>
                <a:pt x="4572" y="25908"/>
              </a:lnTo>
              <a:lnTo>
                <a:pt x="6143" y="17430"/>
              </a:lnTo>
              <a:lnTo>
                <a:pt x="10287" y="10668"/>
              </a:lnTo>
              <a:lnTo>
                <a:pt x="16362" y="6024"/>
              </a:lnTo>
              <a:lnTo>
                <a:pt x="16771" y="6024"/>
              </a:lnTo>
              <a:lnTo>
                <a:pt x="9144" y="13716"/>
              </a:lnTo>
              <a:lnTo>
                <a:pt x="9144" y="36576"/>
              </a:lnTo>
              <a:lnTo>
                <a:pt x="16764" y="42672"/>
              </a:lnTo>
              <a:lnTo>
                <a:pt x="35052" y="42672"/>
              </a:lnTo>
              <a:lnTo>
                <a:pt x="28956" y="441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28742" y="6024"/>
              </a:lnTo>
              <a:lnTo>
                <a:pt x="35037" y="6024"/>
              </a:lnTo>
              <a:lnTo>
                <a:pt x="36576" y="13716"/>
              </a:lnTo>
              <a:close/>
            </a:path>
            <a:path w="38100" h="44450">
              <a:moveTo>
                <a:pt x="35052" y="42672"/>
              </a:moveTo>
              <a:lnTo>
                <a:pt x="28956" y="42672"/>
              </a:lnTo>
              <a:lnTo>
                <a:pt x="33528" y="41148"/>
              </a:lnTo>
              <a:lnTo>
                <a:pt x="35052" y="36576"/>
              </a:lnTo>
              <a:lnTo>
                <a:pt x="38100" y="36576"/>
              </a:lnTo>
              <a:lnTo>
                <a:pt x="35052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9</xdr:col>
      <xdr:colOff>29463</xdr:colOff>
      <xdr:row>96</xdr:row>
      <xdr:rowOff>0</xdr:rowOff>
    </xdr:from>
    <xdr:ext cx="38100" cy="44450"/>
    <xdr:sp macro="" textlink="">
      <xdr:nvSpPr>
        <xdr:cNvPr id="5" name="Shape 913">
          <a:extLst>
            <a:ext uri="{FF2B5EF4-FFF2-40B4-BE49-F238E27FC236}">
              <a16:creationId xmlns:a16="http://schemas.microsoft.com/office/drawing/2014/main" id="{AC825B8B-D14C-4C5D-8C1C-7A27FB59E0EE}"/>
            </a:ext>
          </a:extLst>
        </xdr:cNvPr>
        <xdr:cNvSpPr/>
      </xdr:nvSpPr>
      <xdr:spPr>
        <a:xfrm>
          <a:off x="9381108" y="21135975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3048" y="7620"/>
              </a:lnTo>
              <a:lnTo>
                <a:pt x="0" y="6096"/>
              </a:lnTo>
              <a:lnTo>
                <a:pt x="0" y="3048"/>
              </a:lnTo>
              <a:lnTo>
                <a:pt x="3048" y="0"/>
              </a:lnTo>
              <a:lnTo>
                <a:pt x="4572" y="0"/>
              </a:lnTo>
              <a:lnTo>
                <a:pt x="5334" y="1524"/>
              </a:lnTo>
              <a:lnTo>
                <a:pt x="3048" y="1524"/>
              </a:lnTo>
              <a:lnTo>
                <a:pt x="1524" y="3048"/>
              </a:lnTo>
              <a:lnTo>
                <a:pt x="1524" y="6096"/>
              </a:lnTo>
              <a:lnTo>
                <a:pt x="6096" y="6096"/>
              </a:lnTo>
              <a:lnTo>
                <a:pt x="4572" y="7620"/>
              </a:lnTo>
              <a:close/>
            </a:path>
            <a:path w="38100" h="44450">
              <a:moveTo>
                <a:pt x="6096" y="6096"/>
              </a:moveTo>
              <a:lnTo>
                <a:pt x="4572" y="6096"/>
              </a:lnTo>
              <a:lnTo>
                <a:pt x="4572" y="1524"/>
              </a:lnTo>
              <a:lnTo>
                <a:pt x="5334" y="1524"/>
              </a:lnTo>
              <a:lnTo>
                <a:pt x="6096" y="3048"/>
              </a:lnTo>
              <a:lnTo>
                <a:pt x="6096" y="6096"/>
              </a:lnTo>
              <a:close/>
            </a:path>
            <a:path w="38100" h="44450">
              <a:moveTo>
                <a:pt x="32004" y="6096"/>
              </a:moveTo>
              <a:lnTo>
                <a:pt x="17839" y="6096"/>
              </a:lnTo>
              <a:lnTo>
                <a:pt x="24384" y="4572"/>
              </a:lnTo>
              <a:lnTo>
                <a:pt x="28956" y="4572"/>
              </a:lnTo>
              <a:lnTo>
                <a:pt x="32004" y="6096"/>
              </a:lnTo>
              <a:close/>
            </a:path>
            <a:path w="38100" h="44450">
              <a:moveTo>
                <a:pt x="15303" y="7620"/>
              </a:moveTo>
              <a:lnTo>
                <a:pt x="16764" y="6096"/>
              </a:lnTo>
              <a:lnTo>
                <a:pt x="17430" y="6096"/>
              </a:lnTo>
              <a:lnTo>
                <a:pt x="15303" y="7620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618" y="7981"/>
              </a:lnTo>
              <a:lnTo>
                <a:pt x="33528" y="7620"/>
              </a:lnTo>
              <a:lnTo>
                <a:pt x="30480" y="6096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16764" y="42672"/>
              </a:moveTo>
              <a:lnTo>
                <a:pt x="11049" y="39624"/>
              </a:lnTo>
              <a:lnTo>
                <a:pt x="6381" y="33909"/>
              </a:lnTo>
              <a:lnTo>
                <a:pt x="4572" y="25908"/>
              </a:lnTo>
              <a:lnTo>
                <a:pt x="6381" y="17430"/>
              </a:lnTo>
              <a:lnTo>
                <a:pt x="11049" y="10668"/>
              </a:lnTo>
              <a:lnTo>
                <a:pt x="14798" y="7981"/>
              </a:lnTo>
              <a:lnTo>
                <a:pt x="12192" y="10668"/>
              </a:lnTo>
              <a:lnTo>
                <a:pt x="9144" y="13716"/>
              </a:lnTo>
              <a:lnTo>
                <a:pt x="9144" y="36576"/>
              </a:lnTo>
              <a:lnTo>
                <a:pt x="16764" y="42672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7430" y="43053"/>
              </a:lnTo>
              <a:lnTo>
                <a:pt x="16721" y="42672"/>
              </a:lnTo>
              <a:lnTo>
                <a:pt x="28956" y="42672"/>
              </a:lnTo>
              <a:lnTo>
                <a:pt x="33528" y="41148"/>
              </a:lnTo>
              <a:lnTo>
                <a:pt x="36576" y="36576"/>
              </a:lnTo>
              <a:lnTo>
                <a:pt x="38100" y="36576"/>
              </a:lnTo>
              <a:lnTo>
                <a:pt x="35052" y="42672"/>
              </a:lnTo>
              <a:lnTo>
                <a:pt x="30480" y="44196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6</xdr:col>
      <xdr:colOff>92582</xdr:colOff>
      <xdr:row>96</xdr:row>
      <xdr:rowOff>0</xdr:rowOff>
    </xdr:from>
    <xdr:ext cx="36830" cy="44450"/>
    <xdr:sp macro="" textlink="">
      <xdr:nvSpPr>
        <xdr:cNvPr id="6" name="Shape 914">
          <a:extLst>
            <a:ext uri="{FF2B5EF4-FFF2-40B4-BE49-F238E27FC236}">
              <a16:creationId xmlns:a16="http://schemas.microsoft.com/office/drawing/2014/main" id="{55F9F5C0-7403-4E30-BA2B-90C2B2973115}"/>
            </a:ext>
          </a:extLst>
        </xdr:cNvPr>
        <xdr:cNvSpPr/>
      </xdr:nvSpPr>
      <xdr:spPr>
        <a:xfrm>
          <a:off x="6078092" y="21135975"/>
          <a:ext cx="36830" cy="44450"/>
        </a:xfrm>
        <a:custGeom>
          <a:avLst/>
          <a:gdLst/>
          <a:ahLst/>
          <a:cxnLst/>
          <a:rect l="0" t="0" r="0" b="0"/>
          <a:pathLst>
            <a:path w="36830" h="44450">
              <a:moveTo>
                <a:pt x="3048" y="7620"/>
              </a:moveTo>
              <a:lnTo>
                <a:pt x="1524" y="7620"/>
              </a:lnTo>
              <a:lnTo>
                <a:pt x="0" y="6096"/>
              </a:lnTo>
              <a:lnTo>
                <a:pt x="0" y="3048"/>
              </a:lnTo>
              <a:lnTo>
                <a:pt x="1524" y="0"/>
              </a:lnTo>
              <a:lnTo>
                <a:pt x="3048" y="0"/>
              </a:lnTo>
              <a:lnTo>
                <a:pt x="4572" y="1524"/>
              </a:lnTo>
              <a:lnTo>
                <a:pt x="1524" y="1524"/>
              </a:lnTo>
              <a:lnTo>
                <a:pt x="1524" y="6096"/>
              </a:lnTo>
              <a:lnTo>
                <a:pt x="6096" y="6096"/>
              </a:lnTo>
              <a:lnTo>
                <a:pt x="3048" y="7620"/>
              </a:lnTo>
              <a:close/>
            </a:path>
            <a:path w="36830" h="44450">
              <a:moveTo>
                <a:pt x="6096" y="6096"/>
              </a:moveTo>
              <a:lnTo>
                <a:pt x="4572" y="6096"/>
              </a:lnTo>
              <a:lnTo>
                <a:pt x="4572" y="3048"/>
              </a:lnTo>
              <a:lnTo>
                <a:pt x="3048" y="1524"/>
              </a:lnTo>
              <a:lnTo>
                <a:pt x="4572" y="1524"/>
              </a:lnTo>
              <a:lnTo>
                <a:pt x="6096" y="3048"/>
              </a:lnTo>
              <a:lnTo>
                <a:pt x="6096" y="6096"/>
              </a:lnTo>
              <a:close/>
            </a:path>
            <a:path w="36830" h="44450">
              <a:moveTo>
                <a:pt x="30480" y="6096"/>
              </a:moveTo>
              <a:lnTo>
                <a:pt x="15575" y="6096"/>
              </a:lnTo>
              <a:lnTo>
                <a:pt x="22860" y="4572"/>
              </a:lnTo>
              <a:lnTo>
                <a:pt x="27432" y="4572"/>
              </a:lnTo>
              <a:lnTo>
                <a:pt x="30480" y="6096"/>
              </a:lnTo>
              <a:close/>
            </a:path>
            <a:path w="36830" h="44450">
              <a:moveTo>
                <a:pt x="14413" y="7278"/>
              </a:moveTo>
              <a:lnTo>
                <a:pt x="15240" y="6096"/>
              </a:lnTo>
              <a:lnTo>
                <a:pt x="16144" y="6096"/>
              </a:lnTo>
              <a:lnTo>
                <a:pt x="14413" y="7278"/>
              </a:lnTo>
              <a:close/>
            </a:path>
            <a:path w="36830" h="44450">
              <a:moveTo>
                <a:pt x="35052" y="13716"/>
              </a:moveTo>
              <a:lnTo>
                <a:pt x="33528" y="13716"/>
              </a:lnTo>
              <a:lnTo>
                <a:pt x="32004" y="7620"/>
              </a:lnTo>
              <a:lnTo>
                <a:pt x="28956" y="6096"/>
              </a:lnTo>
              <a:lnTo>
                <a:pt x="35052" y="6096"/>
              </a:lnTo>
              <a:lnTo>
                <a:pt x="35052" y="13716"/>
              </a:lnTo>
              <a:close/>
            </a:path>
            <a:path w="36830" h="44450">
              <a:moveTo>
                <a:pt x="14881" y="42313"/>
              </a:moveTo>
              <a:lnTo>
                <a:pt x="10287" y="39624"/>
              </a:lnTo>
              <a:lnTo>
                <a:pt x="6143" y="33909"/>
              </a:lnTo>
              <a:lnTo>
                <a:pt x="4572" y="25908"/>
              </a:lnTo>
              <a:lnTo>
                <a:pt x="6143" y="16787"/>
              </a:lnTo>
              <a:lnTo>
                <a:pt x="10287" y="10096"/>
              </a:lnTo>
              <a:lnTo>
                <a:pt x="13913" y="7620"/>
              </a:lnTo>
              <a:lnTo>
                <a:pt x="12039" y="10096"/>
              </a:lnTo>
              <a:lnTo>
                <a:pt x="9144" y="13716"/>
              </a:lnTo>
              <a:lnTo>
                <a:pt x="9144" y="36576"/>
              </a:lnTo>
              <a:lnTo>
                <a:pt x="14881" y="42313"/>
              </a:lnTo>
              <a:close/>
            </a:path>
            <a:path w="36830" h="44450">
              <a:moveTo>
                <a:pt x="28956" y="44196"/>
              </a:moveTo>
              <a:lnTo>
                <a:pt x="22860" y="44196"/>
              </a:lnTo>
              <a:lnTo>
                <a:pt x="16144" y="43053"/>
              </a:lnTo>
              <a:lnTo>
                <a:pt x="15494" y="42672"/>
              </a:lnTo>
              <a:lnTo>
                <a:pt x="27432" y="42672"/>
              </a:lnTo>
              <a:lnTo>
                <a:pt x="32004" y="41148"/>
              </a:lnTo>
              <a:lnTo>
                <a:pt x="35052" y="36576"/>
              </a:lnTo>
              <a:lnTo>
                <a:pt x="36576" y="36576"/>
              </a:lnTo>
              <a:lnTo>
                <a:pt x="33528" y="42672"/>
              </a:lnTo>
              <a:lnTo>
                <a:pt x="28956" y="44196"/>
              </a:lnTo>
              <a:close/>
            </a:path>
            <a:path w="36830" h="44450">
              <a:moveTo>
                <a:pt x="15494" y="42672"/>
              </a:moveTo>
              <a:lnTo>
                <a:pt x="15240" y="42672"/>
              </a:lnTo>
              <a:lnTo>
                <a:pt x="14881" y="42313"/>
              </a:lnTo>
              <a:lnTo>
                <a:pt x="15494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11</xdr:row>
      <xdr:rowOff>0</xdr:rowOff>
    </xdr:from>
    <xdr:ext cx="41275" cy="114300"/>
    <xdr:sp macro="" textlink="">
      <xdr:nvSpPr>
        <xdr:cNvPr id="7" name="Shape 916">
          <a:extLst>
            <a:ext uri="{FF2B5EF4-FFF2-40B4-BE49-F238E27FC236}">
              <a16:creationId xmlns:a16="http://schemas.microsoft.com/office/drawing/2014/main" id="{1B5411D2-1245-4554-9905-0B6536E2650C}"/>
            </a:ext>
          </a:extLst>
        </xdr:cNvPr>
        <xdr:cNvSpPr/>
      </xdr:nvSpPr>
      <xdr:spPr>
        <a:xfrm>
          <a:off x="15049500" y="2409825"/>
          <a:ext cx="41275" cy="114300"/>
        </a:xfrm>
        <a:custGeom>
          <a:avLst/>
          <a:gdLst/>
          <a:ahLst/>
          <a:cxnLst/>
          <a:rect l="0" t="0" r="0" b="0"/>
          <a:pathLst>
            <a:path w="41275" h="114300">
              <a:moveTo>
                <a:pt x="6096" y="1524"/>
              </a:moveTo>
              <a:lnTo>
                <a:pt x="4572" y="762"/>
              </a:lnTo>
              <a:lnTo>
                <a:pt x="4572" y="3048"/>
              </a:lnTo>
              <a:lnTo>
                <a:pt x="4572" y="4572"/>
              </a:lnTo>
              <a:lnTo>
                <a:pt x="3048" y="6096"/>
              </a:lnTo>
              <a:lnTo>
                <a:pt x="1524" y="6096"/>
              </a:lnTo>
              <a:lnTo>
                <a:pt x="1524" y="1524"/>
              </a:lnTo>
              <a:lnTo>
                <a:pt x="3048" y="1524"/>
              </a:lnTo>
              <a:lnTo>
                <a:pt x="4572" y="3048"/>
              </a:lnTo>
              <a:lnTo>
                <a:pt x="4572" y="762"/>
              </a:lnTo>
              <a:lnTo>
                <a:pt x="3048" y="0"/>
              </a:lnTo>
              <a:lnTo>
                <a:pt x="1524" y="0"/>
              </a:lnTo>
              <a:lnTo>
                <a:pt x="0" y="1524"/>
              </a:lnTo>
              <a:lnTo>
                <a:pt x="0" y="4572"/>
              </a:lnTo>
              <a:lnTo>
                <a:pt x="1485" y="7543"/>
              </a:lnTo>
              <a:lnTo>
                <a:pt x="4622" y="7543"/>
              </a:lnTo>
              <a:lnTo>
                <a:pt x="5334" y="6096"/>
              </a:lnTo>
              <a:lnTo>
                <a:pt x="5410" y="5956"/>
              </a:lnTo>
              <a:lnTo>
                <a:pt x="6096" y="4572"/>
              </a:lnTo>
              <a:lnTo>
                <a:pt x="6096" y="1524"/>
              </a:lnTo>
              <a:close/>
            </a:path>
            <a:path w="41275" h="114300">
              <a:moveTo>
                <a:pt x="9156" y="71628"/>
              </a:moveTo>
              <a:lnTo>
                <a:pt x="7632" y="70866"/>
              </a:lnTo>
              <a:lnTo>
                <a:pt x="7632" y="71628"/>
              </a:lnTo>
              <a:lnTo>
                <a:pt x="7632" y="74676"/>
              </a:lnTo>
              <a:lnTo>
                <a:pt x="6108" y="76200"/>
              </a:lnTo>
              <a:lnTo>
                <a:pt x="4584" y="76200"/>
              </a:lnTo>
              <a:lnTo>
                <a:pt x="4584" y="71628"/>
              </a:lnTo>
              <a:lnTo>
                <a:pt x="7632" y="71628"/>
              </a:lnTo>
              <a:lnTo>
                <a:pt x="7632" y="70866"/>
              </a:lnTo>
              <a:lnTo>
                <a:pt x="6108" y="70104"/>
              </a:lnTo>
              <a:lnTo>
                <a:pt x="4584" y="70104"/>
              </a:lnTo>
              <a:lnTo>
                <a:pt x="3060" y="71628"/>
              </a:lnTo>
              <a:lnTo>
                <a:pt x="3060" y="74676"/>
              </a:lnTo>
              <a:lnTo>
                <a:pt x="4533" y="77647"/>
              </a:lnTo>
              <a:lnTo>
                <a:pt x="6184" y="77647"/>
              </a:lnTo>
              <a:lnTo>
                <a:pt x="7632" y="76200"/>
              </a:lnTo>
              <a:lnTo>
                <a:pt x="9156" y="74676"/>
              </a:lnTo>
              <a:lnTo>
                <a:pt x="9156" y="71628"/>
              </a:lnTo>
              <a:close/>
            </a:path>
            <a:path w="41275" h="114300">
              <a:moveTo>
                <a:pt x="15938" y="6096"/>
              </a:moveTo>
              <a:lnTo>
                <a:pt x="15240" y="6096"/>
              </a:lnTo>
              <a:lnTo>
                <a:pt x="13804" y="7543"/>
              </a:lnTo>
              <a:lnTo>
                <a:pt x="15938" y="6096"/>
              </a:lnTo>
              <a:close/>
            </a:path>
            <a:path w="41275" h="114300">
              <a:moveTo>
                <a:pt x="17475" y="111760"/>
              </a:moveTo>
              <a:lnTo>
                <a:pt x="12204" y="105156"/>
              </a:lnTo>
              <a:lnTo>
                <a:pt x="12204" y="82296"/>
              </a:lnTo>
              <a:lnTo>
                <a:pt x="16852" y="77647"/>
              </a:lnTo>
              <a:lnTo>
                <a:pt x="13347" y="80010"/>
              </a:lnTo>
              <a:lnTo>
                <a:pt x="9194" y="86258"/>
              </a:lnTo>
              <a:lnTo>
                <a:pt x="7632" y="94488"/>
              </a:lnTo>
              <a:lnTo>
                <a:pt x="9194" y="102730"/>
              </a:lnTo>
              <a:lnTo>
                <a:pt x="13347" y="108966"/>
              </a:lnTo>
              <a:lnTo>
                <a:pt x="17475" y="111760"/>
              </a:lnTo>
              <a:close/>
            </a:path>
            <a:path w="41275" h="114300">
              <a:moveTo>
                <a:pt x="18986" y="112776"/>
              </a:moveTo>
              <a:lnTo>
                <a:pt x="17475" y="111760"/>
              </a:lnTo>
              <a:lnTo>
                <a:pt x="18300" y="112776"/>
              </a:lnTo>
              <a:lnTo>
                <a:pt x="18986" y="112776"/>
              </a:lnTo>
              <a:close/>
            </a:path>
            <a:path w="41275" h="114300">
              <a:moveTo>
                <a:pt x="18986" y="76200"/>
              </a:moveTo>
              <a:lnTo>
                <a:pt x="18300" y="76200"/>
              </a:lnTo>
              <a:lnTo>
                <a:pt x="16852" y="77647"/>
              </a:lnTo>
              <a:lnTo>
                <a:pt x="18986" y="76200"/>
              </a:lnTo>
              <a:close/>
            </a:path>
            <a:path w="41275" h="114300">
              <a:moveTo>
                <a:pt x="36576" y="13716"/>
              </a:moveTo>
              <a:lnTo>
                <a:pt x="35052" y="6096"/>
              </a:lnTo>
              <a:lnTo>
                <a:pt x="30480" y="4572"/>
              </a:lnTo>
              <a:lnTo>
                <a:pt x="22860" y="4572"/>
              </a:lnTo>
              <a:lnTo>
                <a:pt x="16154" y="5956"/>
              </a:lnTo>
              <a:lnTo>
                <a:pt x="15938" y="6096"/>
              </a:lnTo>
              <a:lnTo>
                <a:pt x="28956" y="6096"/>
              </a:lnTo>
              <a:lnTo>
                <a:pt x="31838" y="7543"/>
              </a:lnTo>
              <a:lnTo>
                <a:pt x="31965" y="7543"/>
              </a:lnTo>
              <a:lnTo>
                <a:pt x="35052" y="13716"/>
              </a:lnTo>
              <a:lnTo>
                <a:pt x="36576" y="13716"/>
              </a:lnTo>
              <a:close/>
            </a:path>
            <a:path w="41275" h="114300">
              <a:moveTo>
                <a:pt x="38100" y="36576"/>
              </a:moveTo>
              <a:lnTo>
                <a:pt x="35052" y="35052"/>
              </a:lnTo>
              <a:lnTo>
                <a:pt x="32004" y="39624"/>
              </a:lnTo>
              <a:lnTo>
                <a:pt x="28956" y="42672"/>
              </a:lnTo>
              <a:lnTo>
                <a:pt x="16764" y="42672"/>
              </a:lnTo>
              <a:lnTo>
                <a:pt x="9144" y="35052"/>
              </a:lnTo>
              <a:lnTo>
                <a:pt x="9144" y="12192"/>
              </a:lnTo>
              <a:lnTo>
                <a:pt x="13804" y="7543"/>
              </a:lnTo>
              <a:lnTo>
                <a:pt x="10287" y="9906"/>
              </a:lnTo>
              <a:lnTo>
                <a:pt x="6146" y="16154"/>
              </a:lnTo>
              <a:lnTo>
                <a:pt x="4572" y="24384"/>
              </a:lnTo>
              <a:lnTo>
                <a:pt x="6146" y="32626"/>
              </a:lnTo>
              <a:lnTo>
                <a:pt x="10287" y="38862"/>
              </a:lnTo>
              <a:lnTo>
                <a:pt x="16154" y="42824"/>
              </a:lnTo>
              <a:lnTo>
                <a:pt x="22860" y="44196"/>
              </a:lnTo>
              <a:lnTo>
                <a:pt x="28956" y="44196"/>
              </a:lnTo>
              <a:lnTo>
                <a:pt x="31242" y="42672"/>
              </a:lnTo>
              <a:lnTo>
                <a:pt x="33528" y="41148"/>
              </a:lnTo>
              <a:lnTo>
                <a:pt x="38100" y="36576"/>
              </a:lnTo>
              <a:close/>
            </a:path>
            <a:path w="41275" h="114300">
              <a:moveTo>
                <a:pt x="39636" y="83820"/>
              </a:moveTo>
              <a:lnTo>
                <a:pt x="38112" y="76200"/>
              </a:lnTo>
              <a:lnTo>
                <a:pt x="33540" y="74676"/>
              </a:lnTo>
              <a:lnTo>
                <a:pt x="25920" y="74676"/>
              </a:lnTo>
              <a:lnTo>
                <a:pt x="19202" y="76060"/>
              </a:lnTo>
              <a:lnTo>
                <a:pt x="18986" y="76200"/>
              </a:lnTo>
              <a:lnTo>
                <a:pt x="32016" y="76200"/>
              </a:lnTo>
              <a:lnTo>
                <a:pt x="34886" y="77647"/>
              </a:lnTo>
              <a:lnTo>
                <a:pt x="35013" y="77647"/>
              </a:lnTo>
              <a:lnTo>
                <a:pt x="38112" y="83820"/>
              </a:lnTo>
              <a:lnTo>
                <a:pt x="39636" y="83820"/>
              </a:lnTo>
              <a:close/>
            </a:path>
            <a:path w="41275" h="114300">
              <a:moveTo>
                <a:pt x="41160" y="106680"/>
              </a:moveTo>
              <a:lnTo>
                <a:pt x="38112" y="105156"/>
              </a:lnTo>
              <a:lnTo>
                <a:pt x="35064" y="109728"/>
              </a:lnTo>
              <a:lnTo>
                <a:pt x="32016" y="112776"/>
              </a:lnTo>
              <a:lnTo>
                <a:pt x="18986" y="112776"/>
              </a:lnTo>
              <a:lnTo>
                <a:pt x="19202" y="112928"/>
              </a:lnTo>
              <a:lnTo>
                <a:pt x="25920" y="114300"/>
              </a:lnTo>
              <a:lnTo>
                <a:pt x="32016" y="114300"/>
              </a:lnTo>
              <a:lnTo>
                <a:pt x="36588" y="111252"/>
              </a:lnTo>
              <a:lnTo>
                <a:pt x="41160" y="106680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11</xdr:row>
      <xdr:rowOff>0</xdr:rowOff>
    </xdr:from>
    <xdr:ext cx="38100" cy="44450"/>
    <xdr:sp macro="" textlink="">
      <xdr:nvSpPr>
        <xdr:cNvPr id="8" name="Shape 917">
          <a:extLst>
            <a:ext uri="{FF2B5EF4-FFF2-40B4-BE49-F238E27FC236}">
              <a16:creationId xmlns:a16="http://schemas.microsoft.com/office/drawing/2014/main" id="{E5021695-7E93-4FC4-BEE3-272ED56BCA9A}"/>
            </a:ext>
          </a:extLst>
        </xdr:cNvPr>
        <xdr:cNvSpPr/>
      </xdr:nvSpPr>
      <xdr:spPr>
        <a:xfrm>
          <a:off x="15049500" y="2409825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3048" y="7620"/>
              </a:lnTo>
              <a:lnTo>
                <a:pt x="0" y="4572"/>
              </a:lnTo>
              <a:lnTo>
                <a:pt x="0" y="1524"/>
              </a:lnTo>
              <a:lnTo>
                <a:pt x="3048" y="0"/>
              </a:lnTo>
              <a:lnTo>
                <a:pt x="4572" y="0"/>
              </a:lnTo>
              <a:lnTo>
                <a:pt x="6096" y="1524"/>
              </a:lnTo>
              <a:lnTo>
                <a:pt x="3048" y="1524"/>
              </a:lnTo>
              <a:lnTo>
                <a:pt x="1524" y="3048"/>
              </a:lnTo>
              <a:lnTo>
                <a:pt x="1524" y="4572"/>
              </a:lnTo>
              <a:lnTo>
                <a:pt x="3048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30480" y="6096"/>
              </a:lnTo>
              <a:lnTo>
                <a:pt x="17200" y="6096"/>
              </a:lnTo>
              <a:lnTo>
                <a:pt x="17430" y="5953"/>
              </a:lnTo>
              <a:lnTo>
                <a:pt x="24384" y="4572"/>
              </a:lnTo>
              <a:lnTo>
                <a:pt x="32004" y="4572"/>
              </a:lnTo>
              <a:lnTo>
                <a:pt x="36576" y="6096"/>
              </a:lnTo>
              <a:lnTo>
                <a:pt x="36576" y="13716"/>
              </a:lnTo>
              <a:close/>
            </a:path>
            <a:path w="38100" h="44450">
              <a:moveTo>
                <a:pt x="15268" y="7292"/>
              </a:moveTo>
              <a:lnTo>
                <a:pt x="16764" y="6096"/>
              </a:lnTo>
              <a:lnTo>
                <a:pt x="17200" y="6096"/>
              </a:lnTo>
              <a:lnTo>
                <a:pt x="15268" y="7292"/>
              </a:lnTo>
              <a:close/>
            </a:path>
            <a:path w="38100" h="44450">
              <a:moveTo>
                <a:pt x="9629" y="11803"/>
              </a:moveTo>
              <a:lnTo>
                <a:pt x="11049" y="9906"/>
              </a:lnTo>
              <a:lnTo>
                <a:pt x="14739" y="7620"/>
              </a:lnTo>
              <a:lnTo>
                <a:pt x="12001" y="9906"/>
              </a:lnTo>
              <a:lnTo>
                <a:pt x="9629" y="11803"/>
              </a:lnTo>
              <a:close/>
            </a:path>
            <a:path w="38100" h="44450">
              <a:moveTo>
                <a:pt x="9144" y="12452"/>
              </a:moveTo>
              <a:lnTo>
                <a:pt x="9144" y="12192"/>
              </a:lnTo>
              <a:lnTo>
                <a:pt x="9629" y="11803"/>
              </a:lnTo>
              <a:lnTo>
                <a:pt x="9144" y="12452"/>
              </a:lnTo>
              <a:close/>
            </a:path>
            <a:path w="38100" h="44450">
              <a:moveTo>
                <a:pt x="16054" y="41962"/>
              </a:moveTo>
              <a:lnTo>
                <a:pt x="11049" y="38862"/>
              </a:lnTo>
              <a:lnTo>
                <a:pt x="6381" y="32623"/>
              </a:lnTo>
              <a:lnTo>
                <a:pt x="4572" y="24384"/>
              </a:lnTo>
              <a:lnTo>
                <a:pt x="6381" y="16144"/>
              </a:lnTo>
              <a:lnTo>
                <a:pt x="9144" y="12452"/>
              </a:lnTo>
              <a:lnTo>
                <a:pt x="9144" y="35052"/>
              </a:lnTo>
              <a:lnTo>
                <a:pt x="16054" y="41962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7430" y="42814"/>
              </a:lnTo>
              <a:lnTo>
                <a:pt x="17200" y="42672"/>
              </a:lnTo>
              <a:lnTo>
                <a:pt x="28956" y="42672"/>
              </a:lnTo>
              <a:lnTo>
                <a:pt x="33528" y="39624"/>
              </a:lnTo>
              <a:lnTo>
                <a:pt x="36576" y="35052"/>
              </a:lnTo>
              <a:lnTo>
                <a:pt x="38100" y="36576"/>
              </a:lnTo>
              <a:lnTo>
                <a:pt x="35052" y="41148"/>
              </a:lnTo>
              <a:lnTo>
                <a:pt x="30480" y="44196"/>
              </a:lnTo>
              <a:close/>
            </a:path>
            <a:path w="38100" h="44450">
              <a:moveTo>
                <a:pt x="17200" y="42672"/>
              </a:moveTo>
              <a:lnTo>
                <a:pt x="16764" y="42672"/>
              </a:lnTo>
              <a:lnTo>
                <a:pt x="16054" y="41962"/>
              </a:lnTo>
              <a:lnTo>
                <a:pt x="17200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11</xdr:row>
      <xdr:rowOff>0</xdr:rowOff>
    </xdr:from>
    <xdr:ext cx="38100" cy="44450"/>
    <xdr:sp macro="" textlink="">
      <xdr:nvSpPr>
        <xdr:cNvPr id="9" name="Shape 918">
          <a:extLst>
            <a:ext uri="{FF2B5EF4-FFF2-40B4-BE49-F238E27FC236}">
              <a16:creationId xmlns:a16="http://schemas.microsoft.com/office/drawing/2014/main" id="{5639CF76-4DF2-40B4-B43F-84F445DCC4BF}"/>
            </a:ext>
          </a:extLst>
        </xdr:cNvPr>
        <xdr:cNvSpPr/>
      </xdr:nvSpPr>
      <xdr:spPr>
        <a:xfrm>
          <a:off x="15049500" y="2409825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4572" y="0"/>
              </a:lnTo>
              <a:lnTo>
                <a:pt x="6096" y="1524"/>
              </a:lnTo>
              <a:lnTo>
                <a:pt x="3048" y="1524"/>
              </a:lnTo>
              <a:lnTo>
                <a:pt x="1524" y="3048"/>
              </a:lnTo>
              <a:lnTo>
                <a:pt x="1524" y="4572"/>
              </a:lnTo>
              <a:lnTo>
                <a:pt x="3048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28956" y="6096"/>
              </a:lnTo>
              <a:lnTo>
                <a:pt x="17200" y="6096"/>
              </a:lnTo>
              <a:lnTo>
                <a:pt x="17430" y="5953"/>
              </a:lnTo>
              <a:lnTo>
                <a:pt x="24384" y="4572"/>
              </a:lnTo>
              <a:lnTo>
                <a:pt x="32004" y="4572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15268" y="7292"/>
              </a:moveTo>
              <a:lnTo>
                <a:pt x="16764" y="6096"/>
              </a:lnTo>
              <a:lnTo>
                <a:pt x="17200" y="6096"/>
              </a:lnTo>
              <a:lnTo>
                <a:pt x="15268" y="7292"/>
              </a:lnTo>
              <a:close/>
            </a:path>
            <a:path w="38100" h="44450">
              <a:moveTo>
                <a:pt x="9629" y="11803"/>
              </a:moveTo>
              <a:lnTo>
                <a:pt x="11049" y="9906"/>
              </a:lnTo>
              <a:lnTo>
                <a:pt x="14739" y="7620"/>
              </a:lnTo>
              <a:lnTo>
                <a:pt x="12001" y="9906"/>
              </a:lnTo>
              <a:lnTo>
                <a:pt x="9629" y="11803"/>
              </a:lnTo>
              <a:close/>
            </a:path>
            <a:path w="38100" h="44450">
              <a:moveTo>
                <a:pt x="9144" y="12452"/>
              </a:moveTo>
              <a:lnTo>
                <a:pt x="9144" y="12192"/>
              </a:lnTo>
              <a:lnTo>
                <a:pt x="9629" y="11803"/>
              </a:lnTo>
              <a:lnTo>
                <a:pt x="9144" y="12452"/>
              </a:lnTo>
              <a:close/>
            </a:path>
            <a:path w="38100" h="44450">
              <a:moveTo>
                <a:pt x="16947" y="42914"/>
              </a:moveTo>
              <a:lnTo>
                <a:pt x="10477" y="38862"/>
              </a:lnTo>
              <a:lnTo>
                <a:pt x="6167" y="32623"/>
              </a:lnTo>
              <a:lnTo>
                <a:pt x="4572" y="24384"/>
              </a:lnTo>
              <a:lnTo>
                <a:pt x="6381" y="16144"/>
              </a:lnTo>
              <a:lnTo>
                <a:pt x="9144" y="12452"/>
              </a:lnTo>
              <a:lnTo>
                <a:pt x="9144" y="35052"/>
              </a:lnTo>
              <a:lnTo>
                <a:pt x="16947" y="42914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6002" y="42672"/>
              </a:lnTo>
              <a:lnTo>
                <a:pt x="28956" y="42672"/>
              </a:lnTo>
              <a:lnTo>
                <a:pt x="33528" y="39624"/>
              </a:lnTo>
              <a:lnTo>
                <a:pt x="36576" y="35052"/>
              </a:lnTo>
              <a:lnTo>
                <a:pt x="38100" y="36576"/>
              </a:lnTo>
              <a:lnTo>
                <a:pt x="35052" y="41148"/>
              </a:lnTo>
              <a:lnTo>
                <a:pt x="30480" y="44196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11</xdr:row>
      <xdr:rowOff>0</xdr:rowOff>
    </xdr:from>
    <xdr:ext cx="36830" cy="44450"/>
    <xdr:sp macro="" textlink="">
      <xdr:nvSpPr>
        <xdr:cNvPr id="10" name="Shape 919">
          <a:extLst>
            <a:ext uri="{FF2B5EF4-FFF2-40B4-BE49-F238E27FC236}">
              <a16:creationId xmlns:a16="http://schemas.microsoft.com/office/drawing/2014/main" id="{BA4F15F3-A0AF-4A35-8F0C-B4138FB1CFF0}"/>
            </a:ext>
          </a:extLst>
        </xdr:cNvPr>
        <xdr:cNvSpPr/>
      </xdr:nvSpPr>
      <xdr:spPr>
        <a:xfrm>
          <a:off x="15049500" y="2409825"/>
          <a:ext cx="36830" cy="44450"/>
        </a:xfrm>
        <a:custGeom>
          <a:avLst/>
          <a:gdLst/>
          <a:ahLst/>
          <a:cxnLst/>
          <a:rect l="0" t="0" r="0" b="0"/>
          <a:pathLst>
            <a:path w="36830" h="44450">
              <a:moveTo>
                <a:pt x="3133" y="7534"/>
              </a:moveTo>
              <a:lnTo>
                <a:pt x="1481" y="7534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3048" y="0"/>
              </a:lnTo>
              <a:lnTo>
                <a:pt x="6096" y="1524"/>
              </a:lnTo>
              <a:lnTo>
                <a:pt x="1524" y="1524"/>
              </a:lnTo>
              <a:lnTo>
                <a:pt x="1524" y="6096"/>
              </a:lnTo>
              <a:lnTo>
                <a:pt x="4572" y="6096"/>
              </a:lnTo>
              <a:lnTo>
                <a:pt x="3133" y="7534"/>
              </a:lnTo>
              <a:close/>
            </a:path>
            <a:path w="36830" h="44450">
              <a:moveTo>
                <a:pt x="4572" y="6096"/>
              </a:moveTo>
              <a:lnTo>
                <a:pt x="3048" y="6096"/>
              </a:lnTo>
              <a:lnTo>
                <a:pt x="4572" y="4572"/>
              </a:lnTo>
              <a:lnTo>
                <a:pt x="4572" y="3048"/>
              </a:lnTo>
              <a:lnTo>
                <a:pt x="3048" y="1524"/>
              </a:lnTo>
              <a:lnTo>
                <a:pt x="6096" y="1524"/>
              </a:lnTo>
              <a:lnTo>
                <a:pt x="6096" y="4572"/>
              </a:lnTo>
              <a:lnTo>
                <a:pt x="4572" y="6096"/>
              </a:lnTo>
              <a:close/>
            </a:path>
            <a:path w="36830" h="44450">
              <a:moveTo>
                <a:pt x="35052" y="13716"/>
              </a:moveTo>
              <a:lnTo>
                <a:pt x="31961" y="7534"/>
              </a:lnTo>
              <a:lnTo>
                <a:pt x="31832" y="7534"/>
              </a:lnTo>
              <a:lnTo>
                <a:pt x="28956" y="6096"/>
              </a:lnTo>
              <a:lnTo>
                <a:pt x="15933" y="6096"/>
              </a:lnTo>
              <a:lnTo>
                <a:pt x="16144" y="5953"/>
              </a:lnTo>
              <a:lnTo>
                <a:pt x="22860" y="4572"/>
              </a:lnTo>
              <a:lnTo>
                <a:pt x="30480" y="4572"/>
              </a:lnTo>
              <a:lnTo>
                <a:pt x="35052" y="6096"/>
              </a:lnTo>
              <a:lnTo>
                <a:pt x="35052" y="13716"/>
              </a:lnTo>
              <a:close/>
            </a:path>
            <a:path w="36830" h="44450">
              <a:moveTo>
                <a:pt x="13801" y="7534"/>
              </a:moveTo>
              <a:lnTo>
                <a:pt x="15240" y="6096"/>
              </a:lnTo>
              <a:lnTo>
                <a:pt x="15933" y="6096"/>
              </a:lnTo>
              <a:lnTo>
                <a:pt x="13801" y="7534"/>
              </a:lnTo>
              <a:close/>
            </a:path>
            <a:path w="36830" h="44450">
              <a:moveTo>
                <a:pt x="14426" y="41655"/>
              </a:moveTo>
              <a:lnTo>
                <a:pt x="10287" y="38862"/>
              </a:lnTo>
              <a:lnTo>
                <a:pt x="6143" y="32623"/>
              </a:lnTo>
              <a:lnTo>
                <a:pt x="4572" y="24384"/>
              </a:lnTo>
              <a:lnTo>
                <a:pt x="6143" y="16144"/>
              </a:lnTo>
              <a:lnTo>
                <a:pt x="10287" y="9906"/>
              </a:lnTo>
              <a:lnTo>
                <a:pt x="13801" y="7534"/>
              </a:lnTo>
              <a:lnTo>
                <a:pt x="9144" y="12192"/>
              </a:lnTo>
              <a:lnTo>
                <a:pt x="9144" y="35052"/>
              </a:lnTo>
              <a:lnTo>
                <a:pt x="14426" y="41655"/>
              </a:lnTo>
              <a:close/>
            </a:path>
            <a:path w="36830" h="44450">
              <a:moveTo>
                <a:pt x="28956" y="44196"/>
              </a:moveTo>
              <a:lnTo>
                <a:pt x="22860" y="44196"/>
              </a:lnTo>
              <a:lnTo>
                <a:pt x="16144" y="42814"/>
              </a:lnTo>
              <a:lnTo>
                <a:pt x="15933" y="42672"/>
              </a:lnTo>
              <a:lnTo>
                <a:pt x="27432" y="42672"/>
              </a:lnTo>
              <a:lnTo>
                <a:pt x="32004" y="39624"/>
              </a:lnTo>
              <a:lnTo>
                <a:pt x="35052" y="35052"/>
              </a:lnTo>
              <a:lnTo>
                <a:pt x="36576" y="36576"/>
              </a:lnTo>
              <a:lnTo>
                <a:pt x="33528" y="41148"/>
              </a:lnTo>
              <a:lnTo>
                <a:pt x="28956" y="44196"/>
              </a:lnTo>
              <a:close/>
            </a:path>
            <a:path w="36830" h="44450">
              <a:moveTo>
                <a:pt x="15933" y="42672"/>
              </a:moveTo>
              <a:lnTo>
                <a:pt x="15240" y="42672"/>
              </a:lnTo>
              <a:lnTo>
                <a:pt x="14426" y="41655"/>
              </a:lnTo>
              <a:lnTo>
                <a:pt x="15933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11</xdr:row>
      <xdr:rowOff>0</xdr:rowOff>
    </xdr:from>
    <xdr:ext cx="38100" cy="44450"/>
    <xdr:sp macro="" textlink="">
      <xdr:nvSpPr>
        <xdr:cNvPr id="11" name="Shape 920">
          <a:extLst>
            <a:ext uri="{FF2B5EF4-FFF2-40B4-BE49-F238E27FC236}">
              <a16:creationId xmlns:a16="http://schemas.microsoft.com/office/drawing/2014/main" id="{1414EB21-D6A3-401C-A48A-6F434567FA2B}"/>
            </a:ext>
          </a:extLst>
        </xdr:cNvPr>
        <xdr:cNvSpPr/>
      </xdr:nvSpPr>
      <xdr:spPr>
        <a:xfrm>
          <a:off x="15049500" y="2409825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4572" y="0"/>
              </a:lnTo>
              <a:lnTo>
                <a:pt x="6096" y="1524"/>
              </a:lnTo>
              <a:lnTo>
                <a:pt x="1524" y="1524"/>
              </a:lnTo>
              <a:lnTo>
                <a:pt x="1524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28956" y="44196"/>
              </a:moveTo>
              <a:lnTo>
                <a:pt x="22860" y="44196"/>
              </a:lnTo>
              <a:lnTo>
                <a:pt x="16144" y="42814"/>
              </a:lnTo>
              <a:lnTo>
                <a:pt x="10287" y="38862"/>
              </a:lnTo>
              <a:lnTo>
                <a:pt x="6143" y="32623"/>
              </a:lnTo>
              <a:lnTo>
                <a:pt x="4572" y="24384"/>
              </a:lnTo>
              <a:lnTo>
                <a:pt x="6143" y="16144"/>
              </a:lnTo>
              <a:lnTo>
                <a:pt x="10287" y="9906"/>
              </a:lnTo>
              <a:lnTo>
                <a:pt x="16144" y="5953"/>
              </a:lnTo>
              <a:lnTo>
                <a:pt x="22860" y="4572"/>
              </a:lnTo>
              <a:lnTo>
                <a:pt x="30480" y="4572"/>
              </a:lnTo>
              <a:lnTo>
                <a:pt x="35052" y="6096"/>
              </a:lnTo>
              <a:lnTo>
                <a:pt x="16764" y="6096"/>
              </a:lnTo>
              <a:lnTo>
                <a:pt x="9144" y="12192"/>
              </a:lnTo>
              <a:lnTo>
                <a:pt x="9144" y="35052"/>
              </a:lnTo>
              <a:lnTo>
                <a:pt x="16764" y="42672"/>
              </a:lnTo>
              <a:lnTo>
                <a:pt x="31242" y="42672"/>
              </a:lnTo>
              <a:lnTo>
                <a:pt x="28956" y="441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2004" y="7620"/>
              </a:lnTo>
              <a:lnTo>
                <a:pt x="28956" y="6096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31242" y="42672"/>
              </a:moveTo>
              <a:lnTo>
                <a:pt x="28956" y="42672"/>
              </a:lnTo>
              <a:lnTo>
                <a:pt x="33528" y="39624"/>
              </a:lnTo>
              <a:lnTo>
                <a:pt x="35052" y="35052"/>
              </a:lnTo>
              <a:lnTo>
                <a:pt x="38100" y="36576"/>
              </a:lnTo>
              <a:lnTo>
                <a:pt x="33528" y="41148"/>
              </a:lnTo>
              <a:lnTo>
                <a:pt x="31242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55</xdr:row>
      <xdr:rowOff>0</xdr:rowOff>
    </xdr:from>
    <xdr:ext cx="41275" cy="114300"/>
    <xdr:sp macro="" textlink="">
      <xdr:nvSpPr>
        <xdr:cNvPr id="12" name="Shape 916">
          <a:extLst>
            <a:ext uri="{FF2B5EF4-FFF2-40B4-BE49-F238E27FC236}">
              <a16:creationId xmlns:a16="http://schemas.microsoft.com/office/drawing/2014/main" id="{EA9797EC-2F2E-46A0-A6D1-AF52A925BA34}"/>
            </a:ext>
          </a:extLst>
        </xdr:cNvPr>
        <xdr:cNvSpPr/>
      </xdr:nvSpPr>
      <xdr:spPr>
        <a:xfrm>
          <a:off x="15049500" y="12106275"/>
          <a:ext cx="41275" cy="114300"/>
        </a:xfrm>
        <a:custGeom>
          <a:avLst/>
          <a:gdLst/>
          <a:ahLst/>
          <a:cxnLst/>
          <a:rect l="0" t="0" r="0" b="0"/>
          <a:pathLst>
            <a:path w="41275" h="114300">
              <a:moveTo>
                <a:pt x="6096" y="1524"/>
              </a:moveTo>
              <a:lnTo>
                <a:pt x="4572" y="762"/>
              </a:lnTo>
              <a:lnTo>
                <a:pt x="4572" y="3048"/>
              </a:lnTo>
              <a:lnTo>
                <a:pt x="4572" y="4572"/>
              </a:lnTo>
              <a:lnTo>
                <a:pt x="3048" y="6096"/>
              </a:lnTo>
              <a:lnTo>
                <a:pt x="1524" y="6096"/>
              </a:lnTo>
              <a:lnTo>
                <a:pt x="1524" y="1524"/>
              </a:lnTo>
              <a:lnTo>
                <a:pt x="3048" y="1524"/>
              </a:lnTo>
              <a:lnTo>
                <a:pt x="4572" y="3048"/>
              </a:lnTo>
              <a:lnTo>
                <a:pt x="4572" y="762"/>
              </a:lnTo>
              <a:lnTo>
                <a:pt x="3048" y="0"/>
              </a:lnTo>
              <a:lnTo>
                <a:pt x="1524" y="0"/>
              </a:lnTo>
              <a:lnTo>
                <a:pt x="0" y="1524"/>
              </a:lnTo>
              <a:lnTo>
                <a:pt x="0" y="4572"/>
              </a:lnTo>
              <a:lnTo>
                <a:pt x="1485" y="7543"/>
              </a:lnTo>
              <a:lnTo>
                <a:pt x="4622" y="7543"/>
              </a:lnTo>
              <a:lnTo>
                <a:pt x="5334" y="6096"/>
              </a:lnTo>
              <a:lnTo>
                <a:pt x="5410" y="5956"/>
              </a:lnTo>
              <a:lnTo>
                <a:pt x="6096" y="4572"/>
              </a:lnTo>
              <a:lnTo>
                <a:pt x="6096" y="1524"/>
              </a:lnTo>
              <a:close/>
            </a:path>
            <a:path w="41275" h="114300">
              <a:moveTo>
                <a:pt x="9156" y="71628"/>
              </a:moveTo>
              <a:lnTo>
                <a:pt x="7632" y="70866"/>
              </a:lnTo>
              <a:lnTo>
                <a:pt x="7632" y="71628"/>
              </a:lnTo>
              <a:lnTo>
                <a:pt x="7632" y="74676"/>
              </a:lnTo>
              <a:lnTo>
                <a:pt x="6108" y="76200"/>
              </a:lnTo>
              <a:lnTo>
                <a:pt x="4584" y="76200"/>
              </a:lnTo>
              <a:lnTo>
                <a:pt x="4584" y="71628"/>
              </a:lnTo>
              <a:lnTo>
                <a:pt x="7632" y="71628"/>
              </a:lnTo>
              <a:lnTo>
                <a:pt x="7632" y="70866"/>
              </a:lnTo>
              <a:lnTo>
                <a:pt x="6108" y="70104"/>
              </a:lnTo>
              <a:lnTo>
                <a:pt x="4584" y="70104"/>
              </a:lnTo>
              <a:lnTo>
                <a:pt x="3060" y="71628"/>
              </a:lnTo>
              <a:lnTo>
                <a:pt x="3060" y="74676"/>
              </a:lnTo>
              <a:lnTo>
                <a:pt x="4533" y="77647"/>
              </a:lnTo>
              <a:lnTo>
                <a:pt x="6184" y="77647"/>
              </a:lnTo>
              <a:lnTo>
                <a:pt x="7632" y="76200"/>
              </a:lnTo>
              <a:lnTo>
                <a:pt x="9156" y="74676"/>
              </a:lnTo>
              <a:lnTo>
                <a:pt x="9156" y="71628"/>
              </a:lnTo>
              <a:close/>
            </a:path>
            <a:path w="41275" h="114300">
              <a:moveTo>
                <a:pt x="15938" y="6096"/>
              </a:moveTo>
              <a:lnTo>
                <a:pt x="15240" y="6096"/>
              </a:lnTo>
              <a:lnTo>
                <a:pt x="13804" y="7543"/>
              </a:lnTo>
              <a:lnTo>
                <a:pt x="15938" y="6096"/>
              </a:lnTo>
              <a:close/>
            </a:path>
            <a:path w="41275" h="114300">
              <a:moveTo>
                <a:pt x="17475" y="111760"/>
              </a:moveTo>
              <a:lnTo>
                <a:pt x="12204" y="105156"/>
              </a:lnTo>
              <a:lnTo>
                <a:pt x="12204" y="82296"/>
              </a:lnTo>
              <a:lnTo>
                <a:pt x="16852" y="77647"/>
              </a:lnTo>
              <a:lnTo>
                <a:pt x="13347" y="80010"/>
              </a:lnTo>
              <a:lnTo>
                <a:pt x="9194" y="86258"/>
              </a:lnTo>
              <a:lnTo>
                <a:pt x="7632" y="94488"/>
              </a:lnTo>
              <a:lnTo>
                <a:pt x="9194" y="102730"/>
              </a:lnTo>
              <a:lnTo>
                <a:pt x="13347" y="108966"/>
              </a:lnTo>
              <a:lnTo>
                <a:pt x="17475" y="111760"/>
              </a:lnTo>
              <a:close/>
            </a:path>
            <a:path w="41275" h="114300">
              <a:moveTo>
                <a:pt x="18986" y="112776"/>
              </a:moveTo>
              <a:lnTo>
                <a:pt x="17475" y="111760"/>
              </a:lnTo>
              <a:lnTo>
                <a:pt x="18300" y="112776"/>
              </a:lnTo>
              <a:lnTo>
                <a:pt x="18986" y="112776"/>
              </a:lnTo>
              <a:close/>
            </a:path>
            <a:path w="41275" h="114300">
              <a:moveTo>
                <a:pt x="18986" y="76200"/>
              </a:moveTo>
              <a:lnTo>
                <a:pt x="18300" y="76200"/>
              </a:lnTo>
              <a:lnTo>
                <a:pt x="16852" y="77647"/>
              </a:lnTo>
              <a:lnTo>
                <a:pt x="18986" y="76200"/>
              </a:lnTo>
              <a:close/>
            </a:path>
            <a:path w="41275" h="114300">
              <a:moveTo>
                <a:pt x="36576" y="13716"/>
              </a:moveTo>
              <a:lnTo>
                <a:pt x="35052" y="6096"/>
              </a:lnTo>
              <a:lnTo>
                <a:pt x="30480" y="4572"/>
              </a:lnTo>
              <a:lnTo>
                <a:pt x="22860" y="4572"/>
              </a:lnTo>
              <a:lnTo>
                <a:pt x="16154" y="5956"/>
              </a:lnTo>
              <a:lnTo>
                <a:pt x="15938" y="6096"/>
              </a:lnTo>
              <a:lnTo>
                <a:pt x="28956" y="6096"/>
              </a:lnTo>
              <a:lnTo>
                <a:pt x="31838" y="7543"/>
              </a:lnTo>
              <a:lnTo>
                <a:pt x="31965" y="7543"/>
              </a:lnTo>
              <a:lnTo>
                <a:pt x="35052" y="13716"/>
              </a:lnTo>
              <a:lnTo>
                <a:pt x="36576" y="13716"/>
              </a:lnTo>
              <a:close/>
            </a:path>
            <a:path w="41275" h="114300">
              <a:moveTo>
                <a:pt x="38100" y="36576"/>
              </a:moveTo>
              <a:lnTo>
                <a:pt x="35052" y="35052"/>
              </a:lnTo>
              <a:lnTo>
                <a:pt x="32004" y="39624"/>
              </a:lnTo>
              <a:lnTo>
                <a:pt x="28956" y="42672"/>
              </a:lnTo>
              <a:lnTo>
                <a:pt x="16764" y="42672"/>
              </a:lnTo>
              <a:lnTo>
                <a:pt x="9144" y="35052"/>
              </a:lnTo>
              <a:lnTo>
                <a:pt x="9144" y="12192"/>
              </a:lnTo>
              <a:lnTo>
                <a:pt x="13804" y="7543"/>
              </a:lnTo>
              <a:lnTo>
                <a:pt x="10287" y="9906"/>
              </a:lnTo>
              <a:lnTo>
                <a:pt x="6146" y="16154"/>
              </a:lnTo>
              <a:lnTo>
                <a:pt x="4572" y="24384"/>
              </a:lnTo>
              <a:lnTo>
                <a:pt x="6146" y="32626"/>
              </a:lnTo>
              <a:lnTo>
                <a:pt x="10287" y="38862"/>
              </a:lnTo>
              <a:lnTo>
                <a:pt x="16154" y="42824"/>
              </a:lnTo>
              <a:lnTo>
                <a:pt x="22860" y="44196"/>
              </a:lnTo>
              <a:lnTo>
                <a:pt x="28956" y="44196"/>
              </a:lnTo>
              <a:lnTo>
                <a:pt x="31242" y="42672"/>
              </a:lnTo>
              <a:lnTo>
                <a:pt x="33528" y="41148"/>
              </a:lnTo>
              <a:lnTo>
                <a:pt x="38100" y="36576"/>
              </a:lnTo>
              <a:close/>
            </a:path>
            <a:path w="41275" h="114300">
              <a:moveTo>
                <a:pt x="39636" y="83820"/>
              </a:moveTo>
              <a:lnTo>
                <a:pt x="38112" y="76200"/>
              </a:lnTo>
              <a:lnTo>
                <a:pt x="33540" y="74676"/>
              </a:lnTo>
              <a:lnTo>
                <a:pt x="25920" y="74676"/>
              </a:lnTo>
              <a:lnTo>
                <a:pt x="19202" y="76060"/>
              </a:lnTo>
              <a:lnTo>
                <a:pt x="18986" y="76200"/>
              </a:lnTo>
              <a:lnTo>
                <a:pt x="32016" y="76200"/>
              </a:lnTo>
              <a:lnTo>
                <a:pt x="34886" y="77647"/>
              </a:lnTo>
              <a:lnTo>
                <a:pt x="35013" y="77647"/>
              </a:lnTo>
              <a:lnTo>
                <a:pt x="38112" y="83820"/>
              </a:lnTo>
              <a:lnTo>
                <a:pt x="39636" y="83820"/>
              </a:lnTo>
              <a:close/>
            </a:path>
            <a:path w="41275" h="114300">
              <a:moveTo>
                <a:pt x="41160" y="106680"/>
              </a:moveTo>
              <a:lnTo>
                <a:pt x="38112" y="105156"/>
              </a:lnTo>
              <a:lnTo>
                <a:pt x="35064" y="109728"/>
              </a:lnTo>
              <a:lnTo>
                <a:pt x="32016" y="112776"/>
              </a:lnTo>
              <a:lnTo>
                <a:pt x="18986" y="112776"/>
              </a:lnTo>
              <a:lnTo>
                <a:pt x="19202" y="112928"/>
              </a:lnTo>
              <a:lnTo>
                <a:pt x="25920" y="114300"/>
              </a:lnTo>
              <a:lnTo>
                <a:pt x="32016" y="114300"/>
              </a:lnTo>
              <a:lnTo>
                <a:pt x="36588" y="111252"/>
              </a:lnTo>
              <a:lnTo>
                <a:pt x="41160" y="106680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55</xdr:row>
      <xdr:rowOff>0</xdr:rowOff>
    </xdr:from>
    <xdr:ext cx="38100" cy="44450"/>
    <xdr:sp macro="" textlink="">
      <xdr:nvSpPr>
        <xdr:cNvPr id="13" name="Shape 917">
          <a:extLst>
            <a:ext uri="{FF2B5EF4-FFF2-40B4-BE49-F238E27FC236}">
              <a16:creationId xmlns:a16="http://schemas.microsoft.com/office/drawing/2014/main" id="{413C4F30-2E20-4F54-946E-02240277E600}"/>
            </a:ext>
          </a:extLst>
        </xdr:cNvPr>
        <xdr:cNvSpPr/>
      </xdr:nvSpPr>
      <xdr:spPr>
        <a:xfrm>
          <a:off x="15049500" y="12106275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3048" y="7620"/>
              </a:lnTo>
              <a:lnTo>
                <a:pt x="0" y="4572"/>
              </a:lnTo>
              <a:lnTo>
                <a:pt x="0" y="1524"/>
              </a:lnTo>
              <a:lnTo>
                <a:pt x="3048" y="0"/>
              </a:lnTo>
              <a:lnTo>
                <a:pt x="4572" y="0"/>
              </a:lnTo>
              <a:lnTo>
                <a:pt x="6096" y="1524"/>
              </a:lnTo>
              <a:lnTo>
                <a:pt x="3048" y="1524"/>
              </a:lnTo>
              <a:lnTo>
                <a:pt x="1524" y="3048"/>
              </a:lnTo>
              <a:lnTo>
                <a:pt x="1524" y="4572"/>
              </a:lnTo>
              <a:lnTo>
                <a:pt x="3048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30480" y="6096"/>
              </a:lnTo>
              <a:lnTo>
                <a:pt x="17200" y="6096"/>
              </a:lnTo>
              <a:lnTo>
                <a:pt x="17430" y="5953"/>
              </a:lnTo>
              <a:lnTo>
                <a:pt x="24384" y="4572"/>
              </a:lnTo>
              <a:lnTo>
                <a:pt x="32004" y="4572"/>
              </a:lnTo>
              <a:lnTo>
                <a:pt x="36576" y="6096"/>
              </a:lnTo>
              <a:lnTo>
                <a:pt x="36576" y="13716"/>
              </a:lnTo>
              <a:close/>
            </a:path>
            <a:path w="38100" h="44450">
              <a:moveTo>
                <a:pt x="15268" y="7292"/>
              </a:moveTo>
              <a:lnTo>
                <a:pt x="16764" y="6096"/>
              </a:lnTo>
              <a:lnTo>
                <a:pt x="17200" y="6096"/>
              </a:lnTo>
              <a:lnTo>
                <a:pt x="15268" y="7292"/>
              </a:lnTo>
              <a:close/>
            </a:path>
            <a:path w="38100" h="44450">
              <a:moveTo>
                <a:pt x="9629" y="11803"/>
              </a:moveTo>
              <a:lnTo>
                <a:pt x="11049" y="9906"/>
              </a:lnTo>
              <a:lnTo>
                <a:pt x="14739" y="7620"/>
              </a:lnTo>
              <a:lnTo>
                <a:pt x="12001" y="9906"/>
              </a:lnTo>
              <a:lnTo>
                <a:pt x="9629" y="11803"/>
              </a:lnTo>
              <a:close/>
            </a:path>
            <a:path w="38100" h="44450">
              <a:moveTo>
                <a:pt x="9144" y="12452"/>
              </a:moveTo>
              <a:lnTo>
                <a:pt x="9144" y="12192"/>
              </a:lnTo>
              <a:lnTo>
                <a:pt x="9629" y="11803"/>
              </a:lnTo>
              <a:lnTo>
                <a:pt x="9144" y="12452"/>
              </a:lnTo>
              <a:close/>
            </a:path>
            <a:path w="38100" h="44450">
              <a:moveTo>
                <a:pt x="16054" y="41962"/>
              </a:moveTo>
              <a:lnTo>
                <a:pt x="11049" y="38862"/>
              </a:lnTo>
              <a:lnTo>
                <a:pt x="6381" y="32623"/>
              </a:lnTo>
              <a:lnTo>
                <a:pt x="4572" y="24384"/>
              </a:lnTo>
              <a:lnTo>
                <a:pt x="6381" y="16144"/>
              </a:lnTo>
              <a:lnTo>
                <a:pt x="9144" y="12452"/>
              </a:lnTo>
              <a:lnTo>
                <a:pt x="9144" y="35052"/>
              </a:lnTo>
              <a:lnTo>
                <a:pt x="16054" y="41962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7430" y="42814"/>
              </a:lnTo>
              <a:lnTo>
                <a:pt x="17200" y="42672"/>
              </a:lnTo>
              <a:lnTo>
                <a:pt x="28956" y="42672"/>
              </a:lnTo>
              <a:lnTo>
                <a:pt x="33528" y="39624"/>
              </a:lnTo>
              <a:lnTo>
                <a:pt x="36576" y="35052"/>
              </a:lnTo>
              <a:lnTo>
                <a:pt x="38100" y="36576"/>
              </a:lnTo>
              <a:lnTo>
                <a:pt x="35052" y="41148"/>
              </a:lnTo>
              <a:lnTo>
                <a:pt x="30480" y="44196"/>
              </a:lnTo>
              <a:close/>
            </a:path>
            <a:path w="38100" h="44450">
              <a:moveTo>
                <a:pt x="17200" y="42672"/>
              </a:moveTo>
              <a:lnTo>
                <a:pt x="16764" y="42672"/>
              </a:lnTo>
              <a:lnTo>
                <a:pt x="16054" y="41962"/>
              </a:lnTo>
              <a:lnTo>
                <a:pt x="17200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55</xdr:row>
      <xdr:rowOff>0</xdr:rowOff>
    </xdr:from>
    <xdr:ext cx="38100" cy="44450"/>
    <xdr:sp macro="" textlink="">
      <xdr:nvSpPr>
        <xdr:cNvPr id="14" name="Shape 918">
          <a:extLst>
            <a:ext uri="{FF2B5EF4-FFF2-40B4-BE49-F238E27FC236}">
              <a16:creationId xmlns:a16="http://schemas.microsoft.com/office/drawing/2014/main" id="{BA55BE21-66C3-4138-9A2A-E006411E434F}"/>
            </a:ext>
          </a:extLst>
        </xdr:cNvPr>
        <xdr:cNvSpPr/>
      </xdr:nvSpPr>
      <xdr:spPr>
        <a:xfrm>
          <a:off x="15049500" y="12106275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4572" y="0"/>
              </a:lnTo>
              <a:lnTo>
                <a:pt x="6096" y="1524"/>
              </a:lnTo>
              <a:lnTo>
                <a:pt x="3048" y="1524"/>
              </a:lnTo>
              <a:lnTo>
                <a:pt x="1524" y="3048"/>
              </a:lnTo>
              <a:lnTo>
                <a:pt x="1524" y="4572"/>
              </a:lnTo>
              <a:lnTo>
                <a:pt x="3048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28956" y="6096"/>
              </a:lnTo>
              <a:lnTo>
                <a:pt x="17200" y="6096"/>
              </a:lnTo>
              <a:lnTo>
                <a:pt x="17430" y="5953"/>
              </a:lnTo>
              <a:lnTo>
                <a:pt x="24384" y="4572"/>
              </a:lnTo>
              <a:lnTo>
                <a:pt x="32004" y="4572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15268" y="7292"/>
              </a:moveTo>
              <a:lnTo>
                <a:pt x="16764" y="6096"/>
              </a:lnTo>
              <a:lnTo>
                <a:pt x="17200" y="6096"/>
              </a:lnTo>
              <a:lnTo>
                <a:pt x="15268" y="7292"/>
              </a:lnTo>
              <a:close/>
            </a:path>
            <a:path w="38100" h="44450">
              <a:moveTo>
                <a:pt x="9629" y="11803"/>
              </a:moveTo>
              <a:lnTo>
                <a:pt x="11049" y="9906"/>
              </a:lnTo>
              <a:lnTo>
                <a:pt x="14739" y="7620"/>
              </a:lnTo>
              <a:lnTo>
                <a:pt x="12001" y="9906"/>
              </a:lnTo>
              <a:lnTo>
                <a:pt x="9629" y="11803"/>
              </a:lnTo>
              <a:close/>
            </a:path>
            <a:path w="38100" h="44450">
              <a:moveTo>
                <a:pt x="9144" y="12452"/>
              </a:moveTo>
              <a:lnTo>
                <a:pt x="9144" y="12192"/>
              </a:lnTo>
              <a:lnTo>
                <a:pt x="9629" y="11803"/>
              </a:lnTo>
              <a:lnTo>
                <a:pt x="9144" y="12452"/>
              </a:lnTo>
              <a:close/>
            </a:path>
            <a:path w="38100" h="44450">
              <a:moveTo>
                <a:pt x="16947" y="42914"/>
              </a:moveTo>
              <a:lnTo>
                <a:pt x="10477" y="38862"/>
              </a:lnTo>
              <a:lnTo>
                <a:pt x="6167" y="32623"/>
              </a:lnTo>
              <a:lnTo>
                <a:pt x="4572" y="24384"/>
              </a:lnTo>
              <a:lnTo>
                <a:pt x="6381" y="16144"/>
              </a:lnTo>
              <a:lnTo>
                <a:pt x="9144" y="12452"/>
              </a:lnTo>
              <a:lnTo>
                <a:pt x="9144" y="35052"/>
              </a:lnTo>
              <a:lnTo>
                <a:pt x="16947" y="42914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6002" y="42672"/>
              </a:lnTo>
              <a:lnTo>
                <a:pt x="28956" y="42672"/>
              </a:lnTo>
              <a:lnTo>
                <a:pt x="33528" y="39624"/>
              </a:lnTo>
              <a:lnTo>
                <a:pt x="36576" y="35052"/>
              </a:lnTo>
              <a:lnTo>
                <a:pt x="38100" y="36576"/>
              </a:lnTo>
              <a:lnTo>
                <a:pt x="35052" y="41148"/>
              </a:lnTo>
              <a:lnTo>
                <a:pt x="30480" y="44196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55</xdr:row>
      <xdr:rowOff>0</xdr:rowOff>
    </xdr:from>
    <xdr:ext cx="36830" cy="44450"/>
    <xdr:sp macro="" textlink="">
      <xdr:nvSpPr>
        <xdr:cNvPr id="15" name="Shape 919">
          <a:extLst>
            <a:ext uri="{FF2B5EF4-FFF2-40B4-BE49-F238E27FC236}">
              <a16:creationId xmlns:a16="http://schemas.microsoft.com/office/drawing/2014/main" id="{1E999D91-4223-415B-9458-E24574655379}"/>
            </a:ext>
          </a:extLst>
        </xdr:cNvPr>
        <xdr:cNvSpPr/>
      </xdr:nvSpPr>
      <xdr:spPr>
        <a:xfrm>
          <a:off x="15049500" y="12106275"/>
          <a:ext cx="36830" cy="44450"/>
        </a:xfrm>
        <a:custGeom>
          <a:avLst/>
          <a:gdLst/>
          <a:ahLst/>
          <a:cxnLst/>
          <a:rect l="0" t="0" r="0" b="0"/>
          <a:pathLst>
            <a:path w="36830" h="44450">
              <a:moveTo>
                <a:pt x="3133" y="7534"/>
              </a:moveTo>
              <a:lnTo>
                <a:pt x="1481" y="7534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3048" y="0"/>
              </a:lnTo>
              <a:lnTo>
                <a:pt x="6096" y="1524"/>
              </a:lnTo>
              <a:lnTo>
                <a:pt x="1524" y="1524"/>
              </a:lnTo>
              <a:lnTo>
                <a:pt x="1524" y="6096"/>
              </a:lnTo>
              <a:lnTo>
                <a:pt x="4572" y="6096"/>
              </a:lnTo>
              <a:lnTo>
                <a:pt x="3133" y="7534"/>
              </a:lnTo>
              <a:close/>
            </a:path>
            <a:path w="36830" h="44450">
              <a:moveTo>
                <a:pt x="4572" y="6096"/>
              </a:moveTo>
              <a:lnTo>
                <a:pt x="3048" y="6096"/>
              </a:lnTo>
              <a:lnTo>
                <a:pt x="4572" y="4572"/>
              </a:lnTo>
              <a:lnTo>
                <a:pt x="4572" y="3048"/>
              </a:lnTo>
              <a:lnTo>
                <a:pt x="3048" y="1524"/>
              </a:lnTo>
              <a:lnTo>
                <a:pt x="6096" y="1524"/>
              </a:lnTo>
              <a:lnTo>
                <a:pt x="6096" y="4572"/>
              </a:lnTo>
              <a:lnTo>
                <a:pt x="4572" y="6096"/>
              </a:lnTo>
              <a:close/>
            </a:path>
            <a:path w="36830" h="44450">
              <a:moveTo>
                <a:pt x="35052" y="13716"/>
              </a:moveTo>
              <a:lnTo>
                <a:pt x="31961" y="7534"/>
              </a:lnTo>
              <a:lnTo>
                <a:pt x="31832" y="7534"/>
              </a:lnTo>
              <a:lnTo>
                <a:pt x="28956" y="6096"/>
              </a:lnTo>
              <a:lnTo>
                <a:pt x="15933" y="6096"/>
              </a:lnTo>
              <a:lnTo>
                <a:pt x="16144" y="5953"/>
              </a:lnTo>
              <a:lnTo>
                <a:pt x="22860" y="4572"/>
              </a:lnTo>
              <a:lnTo>
                <a:pt x="30480" y="4572"/>
              </a:lnTo>
              <a:lnTo>
                <a:pt x="35052" y="6096"/>
              </a:lnTo>
              <a:lnTo>
                <a:pt x="35052" y="13716"/>
              </a:lnTo>
              <a:close/>
            </a:path>
            <a:path w="36830" h="44450">
              <a:moveTo>
                <a:pt x="13801" y="7534"/>
              </a:moveTo>
              <a:lnTo>
                <a:pt x="15240" y="6096"/>
              </a:lnTo>
              <a:lnTo>
                <a:pt x="15933" y="6096"/>
              </a:lnTo>
              <a:lnTo>
                <a:pt x="13801" y="7534"/>
              </a:lnTo>
              <a:close/>
            </a:path>
            <a:path w="36830" h="44450">
              <a:moveTo>
                <a:pt x="14426" y="41655"/>
              </a:moveTo>
              <a:lnTo>
                <a:pt x="10287" y="38862"/>
              </a:lnTo>
              <a:lnTo>
                <a:pt x="6143" y="32623"/>
              </a:lnTo>
              <a:lnTo>
                <a:pt x="4572" y="24384"/>
              </a:lnTo>
              <a:lnTo>
                <a:pt x="6143" y="16144"/>
              </a:lnTo>
              <a:lnTo>
                <a:pt x="10287" y="9906"/>
              </a:lnTo>
              <a:lnTo>
                <a:pt x="13801" y="7534"/>
              </a:lnTo>
              <a:lnTo>
                <a:pt x="9144" y="12192"/>
              </a:lnTo>
              <a:lnTo>
                <a:pt x="9144" y="35052"/>
              </a:lnTo>
              <a:lnTo>
                <a:pt x="14426" y="41655"/>
              </a:lnTo>
              <a:close/>
            </a:path>
            <a:path w="36830" h="44450">
              <a:moveTo>
                <a:pt x="28956" y="44196"/>
              </a:moveTo>
              <a:lnTo>
                <a:pt x="22860" y="44196"/>
              </a:lnTo>
              <a:lnTo>
                <a:pt x="16144" y="42814"/>
              </a:lnTo>
              <a:lnTo>
                <a:pt x="15933" y="42672"/>
              </a:lnTo>
              <a:lnTo>
                <a:pt x="27432" y="42672"/>
              </a:lnTo>
              <a:lnTo>
                <a:pt x="32004" y="39624"/>
              </a:lnTo>
              <a:lnTo>
                <a:pt x="35052" y="35052"/>
              </a:lnTo>
              <a:lnTo>
                <a:pt x="36576" y="36576"/>
              </a:lnTo>
              <a:lnTo>
                <a:pt x="33528" y="41148"/>
              </a:lnTo>
              <a:lnTo>
                <a:pt x="28956" y="44196"/>
              </a:lnTo>
              <a:close/>
            </a:path>
            <a:path w="36830" h="44450">
              <a:moveTo>
                <a:pt x="15933" y="42672"/>
              </a:moveTo>
              <a:lnTo>
                <a:pt x="15240" y="42672"/>
              </a:lnTo>
              <a:lnTo>
                <a:pt x="14426" y="41655"/>
              </a:lnTo>
              <a:lnTo>
                <a:pt x="15933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55</xdr:row>
      <xdr:rowOff>0</xdr:rowOff>
    </xdr:from>
    <xdr:ext cx="38100" cy="44450"/>
    <xdr:sp macro="" textlink="">
      <xdr:nvSpPr>
        <xdr:cNvPr id="16" name="Shape 920">
          <a:extLst>
            <a:ext uri="{FF2B5EF4-FFF2-40B4-BE49-F238E27FC236}">
              <a16:creationId xmlns:a16="http://schemas.microsoft.com/office/drawing/2014/main" id="{B9B930F1-DA18-4E03-BA5A-F817188EAC7C}"/>
            </a:ext>
          </a:extLst>
        </xdr:cNvPr>
        <xdr:cNvSpPr/>
      </xdr:nvSpPr>
      <xdr:spPr>
        <a:xfrm>
          <a:off x="15049500" y="12106275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4572" y="0"/>
              </a:lnTo>
              <a:lnTo>
                <a:pt x="6096" y="1524"/>
              </a:lnTo>
              <a:lnTo>
                <a:pt x="1524" y="1524"/>
              </a:lnTo>
              <a:lnTo>
                <a:pt x="1524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28956" y="44196"/>
              </a:moveTo>
              <a:lnTo>
                <a:pt x="22860" y="44196"/>
              </a:lnTo>
              <a:lnTo>
                <a:pt x="16144" y="42814"/>
              </a:lnTo>
              <a:lnTo>
                <a:pt x="10287" y="38862"/>
              </a:lnTo>
              <a:lnTo>
                <a:pt x="6143" y="32623"/>
              </a:lnTo>
              <a:lnTo>
                <a:pt x="4572" y="24384"/>
              </a:lnTo>
              <a:lnTo>
                <a:pt x="6143" y="16144"/>
              </a:lnTo>
              <a:lnTo>
                <a:pt x="10287" y="9906"/>
              </a:lnTo>
              <a:lnTo>
                <a:pt x="16144" y="5953"/>
              </a:lnTo>
              <a:lnTo>
                <a:pt x="22860" y="4572"/>
              </a:lnTo>
              <a:lnTo>
                <a:pt x="30480" y="4572"/>
              </a:lnTo>
              <a:lnTo>
                <a:pt x="35052" y="6096"/>
              </a:lnTo>
              <a:lnTo>
                <a:pt x="16764" y="6096"/>
              </a:lnTo>
              <a:lnTo>
                <a:pt x="9144" y="12192"/>
              </a:lnTo>
              <a:lnTo>
                <a:pt x="9144" y="35052"/>
              </a:lnTo>
              <a:lnTo>
                <a:pt x="16764" y="42672"/>
              </a:lnTo>
              <a:lnTo>
                <a:pt x="31242" y="42672"/>
              </a:lnTo>
              <a:lnTo>
                <a:pt x="28956" y="441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2004" y="7620"/>
              </a:lnTo>
              <a:lnTo>
                <a:pt x="28956" y="6096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31242" y="42672"/>
              </a:moveTo>
              <a:lnTo>
                <a:pt x="28956" y="42672"/>
              </a:lnTo>
              <a:lnTo>
                <a:pt x="33528" y="39624"/>
              </a:lnTo>
              <a:lnTo>
                <a:pt x="35052" y="35052"/>
              </a:lnTo>
              <a:lnTo>
                <a:pt x="38100" y="36576"/>
              </a:lnTo>
              <a:lnTo>
                <a:pt x="33528" y="41148"/>
              </a:lnTo>
              <a:lnTo>
                <a:pt x="31242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55</xdr:row>
      <xdr:rowOff>0</xdr:rowOff>
    </xdr:from>
    <xdr:ext cx="41275" cy="114300"/>
    <xdr:sp macro="" textlink="">
      <xdr:nvSpPr>
        <xdr:cNvPr id="17" name="Shape 916">
          <a:extLst>
            <a:ext uri="{FF2B5EF4-FFF2-40B4-BE49-F238E27FC236}">
              <a16:creationId xmlns:a16="http://schemas.microsoft.com/office/drawing/2014/main" id="{ACDA17B7-122C-4AB0-8E5D-15DBC68262FE}"/>
            </a:ext>
          </a:extLst>
        </xdr:cNvPr>
        <xdr:cNvSpPr/>
      </xdr:nvSpPr>
      <xdr:spPr>
        <a:xfrm>
          <a:off x="15049500" y="12106275"/>
          <a:ext cx="41275" cy="114300"/>
        </a:xfrm>
        <a:custGeom>
          <a:avLst/>
          <a:gdLst/>
          <a:ahLst/>
          <a:cxnLst/>
          <a:rect l="0" t="0" r="0" b="0"/>
          <a:pathLst>
            <a:path w="41275" h="114300">
              <a:moveTo>
                <a:pt x="6096" y="1524"/>
              </a:moveTo>
              <a:lnTo>
                <a:pt x="4572" y="762"/>
              </a:lnTo>
              <a:lnTo>
                <a:pt x="4572" y="3048"/>
              </a:lnTo>
              <a:lnTo>
                <a:pt x="4572" y="4572"/>
              </a:lnTo>
              <a:lnTo>
                <a:pt x="3048" y="6096"/>
              </a:lnTo>
              <a:lnTo>
                <a:pt x="1524" y="6096"/>
              </a:lnTo>
              <a:lnTo>
                <a:pt x="1524" y="1524"/>
              </a:lnTo>
              <a:lnTo>
                <a:pt x="3048" y="1524"/>
              </a:lnTo>
              <a:lnTo>
                <a:pt x="4572" y="3048"/>
              </a:lnTo>
              <a:lnTo>
                <a:pt x="4572" y="762"/>
              </a:lnTo>
              <a:lnTo>
                <a:pt x="3048" y="0"/>
              </a:lnTo>
              <a:lnTo>
                <a:pt x="1524" y="0"/>
              </a:lnTo>
              <a:lnTo>
                <a:pt x="0" y="1524"/>
              </a:lnTo>
              <a:lnTo>
                <a:pt x="0" y="4572"/>
              </a:lnTo>
              <a:lnTo>
                <a:pt x="1485" y="7543"/>
              </a:lnTo>
              <a:lnTo>
                <a:pt x="4622" y="7543"/>
              </a:lnTo>
              <a:lnTo>
                <a:pt x="5334" y="6096"/>
              </a:lnTo>
              <a:lnTo>
                <a:pt x="5410" y="5956"/>
              </a:lnTo>
              <a:lnTo>
                <a:pt x="6096" y="4572"/>
              </a:lnTo>
              <a:lnTo>
                <a:pt x="6096" y="1524"/>
              </a:lnTo>
              <a:close/>
            </a:path>
            <a:path w="41275" h="114300">
              <a:moveTo>
                <a:pt x="9156" y="71628"/>
              </a:moveTo>
              <a:lnTo>
                <a:pt x="7632" y="70866"/>
              </a:lnTo>
              <a:lnTo>
                <a:pt x="7632" y="71628"/>
              </a:lnTo>
              <a:lnTo>
                <a:pt x="7632" y="74676"/>
              </a:lnTo>
              <a:lnTo>
                <a:pt x="6108" y="76200"/>
              </a:lnTo>
              <a:lnTo>
                <a:pt x="4584" y="76200"/>
              </a:lnTo>
              <a:lnTo>
                <a:pt x="4584" y="71628"/>
              </a:lnTo>
              <a:lnTo>
                <a:pt x="7632" y="71628"/>
              </a:lnTo>
              <a:lnTo>
                <a:pt x="7632" y="70866"/>
              </a:lnTo>
              <a:lnTo>
                <a:pt x="6108" y="70104"/>
              </a:lnTo>
              <a:lnTo>
                <a:pt x="4584" y="70104"/>
              </a:lnTo>
              <a:lnTo>
                <a:pt x="3060" y="71628"/>
              </a:lnTo>
              <a:lnTo>
                <a:pt x="3060" y="74676"/>
              </a:lnTo>
              <a:lnTo>
                <a:pt x="4533" y="77647"/>
              </a:lnTo>
              <a:lnTo>
                <a:pt x="6184" y="77647"/>
              </a:lnTo>
              <a:lnTo>
                <a:pt x="7632" y="76200"/>
              </a:lnTo>
              <a:lnTo>
                <a:pt x="9156" y="74676"/>
              </a:lnTo>
              <a:lnTo>
                <a:pt x="9156" y="71628"/>
              </a:lnTo>
              <a:close/>
            </a:path>
            <a:path w="41275" h="114300">
              <a:moveTo>
                <a:pt x="15938" y="6096"/>
              </a:moveTo>
              <a:lnTo>
                <a:pt x="15240" y="6096"/>
              </a:lnTo>
              <a:lnTo>
                <a:pt x="13804" y="7543"/>
              </a:lnTo>
              <a:lnTo>
                <a:pt x="15938" y="6096"/>
              </a:lnTo>
              <a:close/>
            </a:path>
            <a:path w="41275" h="114300">
              <a:moveTo>
                <a:pt x="17475" y="111760"/>
              </a:moveTo>
              <a:lnTo>
                <a:pt x="12204" y="105156"/>
              </a:lnTo>
              <a:lnTo>
                <a:pt x="12204" y="82296"/>
              </a:lnTo>
              <a:lnTo>
                <a:pt x="16852" y="77647"/>
              </a:lnTo>
              <a:lnTo>
                <a:pt x="13347" y="80010"/>
              </a:lnTo>
              <a:lnTo>
                <a:pt x="9194" y="86258"/>
              </a:lnTo>
              <a:lnTo>
                <a:pt x="7632" y="94488"/>
              </a:lnTo>
              <a:lnTo>
                <a:pt x="9194" y="102730"/>
              </a:lnTo>
              <a:lnTo>
                <a:pt x="13347" y="108966"/>
              </a:lnTo>
              <a:lnTo>
                <a:pt x="17475" y="111760"/>
              </a:lnTo>
              <a:close/>
            </a:path>
            <a:path w="41275" h="114300">
              <a:moveTo>
                <a:pt x="18986" y="112776"/>
              </a:moveTo>
              <a:lnTo>
                <a:pt x="17475" y="111760"/>
              </a:lnTo>
              <a:lnTo>
                <a:pt x="18300" y="112776"/>
              </a:lnTo>
              <a:lnTo>
                <a:pt x="18986" y="112776"/>
              </a:lnTo>
              <a:close/>
            </a:path>
            <a:path w="41275" h="114300">
              <a:moveTo>
                <a:pt x="18986" y="76200"/>
              </a:moveTo>
              <a:lnTo>
                <a:pt x="18300" y="76200"/>
              </a:lnTo>
              <a:lnTo>
                <a:pt x="16852" y="77647"/>
              </a:lnTo>
              <a:lnTo>
                <a:pt x="18986" y="76200"/>
              </a:lnTo>
              <a:close/>
            </a:path>
            <a:path w="41275" h="114300">
              <a:moveTo>
                <a:pt x="36576" y="13716"/>
              </a:moveTo>
              <a:lnTo>
                <a:pt x="35052" y="6096"/>
              </a:lnTo>
              <a:lnTo>
                <a:pt x="30480" y="4572"/>
              </a:lnTo>
              <a:lnTo>
                <a:pt x="22860" y="4572"/>
              </a:lnTo>
              <a:lnTo>
                <a:pt x="16154" y="5956"/>
              </a:lnTo>
              <a:lnTo>
                <a:pt x="15938" y="6096"/>
              </a:lnTo>
              <a:lnTo>
                <a:pt x="28956" y="6096"/>
              </a:lnTo>
              <a:lnTo>
                <a:pt x="31838" y="7543"/>
              </a:lnTo>
              <a:lnTo>
                <a:pt x="31965" y="7543"/>
              </a:lnTo>
              <a:lnTo>
                <a:pt x="35052" y="13716"/>
              </a:lnTo>
              <a:lnTo>
                <a:pt x="36576" y="13716"/>
              </a:lnTo>
              <a:close/>
            </a:path>
            <a:path w="41275" h="114300">
              <a:moveTo>
                <a:pt x="38100" y="36576"/>
              </a:moveTo>
              <a:lnTo>
                <a:pt x="35052" y="35052"/>
              </a:lnTo>
              <a:lnTo>
                <a:pt x="32004" y="39624"/>
              </a:lnTo>
              <a:lnTo>
                <a:pt x="28956" y="42672"/>
              </a:lnTo>
              <a:lnTo>
                <a:pt x="16764" y="42672"/>
              </a:lnTo>
              <a:lnTo>
                <a:pt x="9144" y="35052"/>
              </a:lnTo>
              <a:lnTo>
                <a:pt x="9144" y="12192"/>
              </a:lnTo>
              <a:lnTo>
                <a:pt x="13804" y="7543"/>
              </a:lnTo>
              <a:lnTo>
                <a:pt x="10287" y="9906"/>
              </a:lnTo>
              <a:lnTo>
                <a:pt x="6146" y="16154"/>
              </a:lnTo>
              <a:lnTo>
                <a:pt x="4572" y="24384"/>
              </a:lnTo>
              <a:lnTo>
                <a:pt x="6146" y="32626"/>
              </a:lnTo>
              <a:lnTo>
                <a:pt x="10287" y="38862"/>
              </a:lnTo>
              <a:lnTo>
                <a:pt x="16154" y="42824"/>
              </a:lnTo>
              <a:lnTo>
                <a:pt x="22860" y="44196"/>
              </a:lnTo>
              <a:lnTo>
                <a:pt x="28956" y="44196"/>
              </a:lnTo>
              <a:lnTo>
                <a:pt x="31242" y="42672"/>
              </a:lnTo>
              <a:lnTo>
                <a:pt x="33528" y="41148"/>
              </a:lnTo>
              <a:lnTo>
                <a:pt x="38100" y="36576"/>
              </a:lnTo>
              <a:close/>
            </a:path>
            <a:path w="41275" h="114300">
              <a:moveTo>
                <a:pt x="39636" y="83820"/>
              </a:moveTo>
              <a:lnTo>
                <a:pt x="38112" y="76200"/>
              </a:lnTo>
              <a:lnTo>
                <a:pt x="33540" y="74676"/>
              </a:lnTo>
              <a:lnTo>
                <a:pt x="25920" y="74676"/>
              </a:lnTo>
              <a:lnTo>
                <a:pt x="19202" y="76060"/>
              </a:lnTo>
              <a:lnTo>
                <a:pt x="18986" y="76200"/>
              </a:lnTo>
              <a:lnTo>
                <a:pt x="32016" y="76200"/>
              </a:lnTo>
              <a:lnTo>
                <a:pt x="34886" y="77647"/>
              </a:lnTo>
              <a:lnTo>
                <a:pt x="35013" y="77647"/>
              </a:lnTo>
              <a:lnTo>
                <a:pt x="38112" y="83820"/>
              </a:lnTo>
              <a:lnTo>
                <a:pt x="39636" y="83820"/>
              </a:lnTo>
              <a:close/>
            </a:path>
            <a:path w="41275" h="114300">
              <a:moveTo>
                <a:pt x="41160" y="106680"/>
              </a:moveTo>
              <a:lnTo>
                <a:pt x="38112" y="105156"/>
              </a:lnTo>
              <a:lnTo>
                <a:pt x="35064" y="109728"/>
              </a:lnTo>
              <a:lnTo>
                <a:pt x="32016" y="112776"/>
              </a:lnTo>
              <a:lnTo>
                <a:pt x="18986" y="112776"/>
              </a:lnTo>
              <a:lnTo>
                <a:pt x="19202" y="112928"/>
              </a:lnTo>
              <a:lnTo>
                <a:pt x="25920" y="114300"/>
              </a:lnTo>
              <a:lnTo>
                <a:pt x="32016" y="114300"/>
              </a:lnTo>
              <a:lnTo>
                <a:pt x="36588" y="111252"/>
              </a:lnTo>
              <a:lnTo>
                <a:pt x="41160" y="106680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55</xdr:row>
      <xdr:rowOff>0</xdr:rowOff>
    </xdr:from>
    <xdr:ext cx="38100" cy="44450"/>
    <xdr:sp macro="" textlink="">
      <xdr:nvSpPr>
        <xdr:cNvPr id="18" name="Shape 917">
          <a:extLst>
            <a:ext uri="{FF2B5EF4-FFF2-40B4-BE49-F238E27FC236}">
              <a16:creationId xmlns:a16="http://schemas.microsoft.com/office/drawing/2014/main" id="{FB5344B3-C5F8-46D1-9625-6941612D0336}"/>
            </a:ext>
          </a:extLst>
        </xdr:cNvPr>
        <xdr:cNvSpPr/>
      </xdr:nvSpPr>
      <xdr:spPr>
        <a:xfrm>
          <a:off x="15049500" y="12106275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3048" y="7620"/>
              </a:lnTo>
              <a:lnTo>
                <a:pt x="0" y="4572"/>
              </a:lnTo>
              <a:lnTo>
                <a:pt x="0" y="1524"/>
              </a:lnTo>
              <a:lnTo>
                <a:pt x="3048" y="0"/>
              </a:lnTo>
              <a:lnTo>
                <a:pt x="4572" y="0"/>
              </a:lnTo>
              <a:lnTo>
                <a:pt x="6096" y="1524"/>
              </a:lnTo>
              <a:lnTo>
                <a:pt x="3048" y="1524"/>
              </a:lnTo>
              <a:lnTo>
                <a:pt x="1524" y="3048"/>
              </a:lnTo>
              <a:lnTo>
                <a:pt x="1524" y="4572"/>
              </a:lnTo>
              <a:lnTo>
                <a:pt x="3048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30480" y="6096"/>
              </a:lnTo>
              <a:lnTo>
                <a:pt x="17200" y="6096"/>
              </a:lnTo>
              <a:lnTo>
                <a:pt x="17430" y="5953"/>
              </a:lnTo>
              <a:lnTo>
                <a:pt x="24384" y="4572"/>
              </a:lnTo>
              <a:lnTo>
                <a:pt x="32004" y="4572"/>
              </a:lnTo>
              <a:lnTo>
                <a:pt x="36576" y="6096"/>
              </a:lnTo>
              <a:lnTo>
                <a:pt x="36576" y="13716"/>
              </a:lnTo>
              <a:close/>
            </a:path>
            <a:path w="38100" h="44450">
              <a:moveTo>
                <a:pt x="15268" y="7292"/>
              </a:moveTo>
              <a:lnTo>
                <a:pt x="16764" y="6096"/>
              </a:lnTo>
              <a:lnTo>
                <a:pt x="17200" y="6096"/>
              </a:lnTo>
              <a:lnTo>
                <a:pt x="15268" y="7292"/>
              </a:lnTo>
              <a:close/>
            </a:path>
            <a:path w="38100" h="44450">
              <a:moveTo>
                <a:pt x="9629" y="11803"/>
              </a:moveTo>
              <a:lnTo>
                <a:pt x="11049" y="9906"/>
              </a:lnTo>
              <a:lnTo>
                <a:pt x="14739" y="7620"/>
              </a:lnTo>
              <a:lnTo>
                <a:pt x="12001" y="9906"/>
              </a:lnTo>
              <a:lnTo>
                <a:pt x="9629" y="11803"/>
              </a:lnTo>
              <a:close/>
            </a:path>
            <a:path w="38100" h="44450">
              <a:moveTo>
                <a:pt x="9144" y="12452"/>
              </a:moveTo>
              <a:lnTo>
                <a:pt x="9144" y="12192"/>
              </a:lnTo>
              <a:lnTo>
                <a:pt x="9629" y="11803"/>
              </a:lnTo>
              <a:lnTo>
                <a:pt x="9144" y="12452"/>
              </a:lnTo>
              <a:close/>
            </a:path>
            <a:path w="38100" h="44450">
              <a:moveTo>
                <a:pt x="16054" y="41962"/>
              </a:moveTo>
              <a:lnTo>
                <a:pt x="11049" y="38862"/>
              </a:lnTo>
              <a:lnTo>
                <a:pt x="6381" y="32623"/>
              </a:lnTo>
              <a:lnTo>
                <a:pt x="4572" y="24384"/>
              </a:lnTo>
              <a:lnTo>
                <a:pt x="6381" y="16144"/>
              </a:lnTo>
              <a:lnTo>
                <a:pt x="9144" y="12452"/>
              </a:lnTo>
              <a:lnTo>
                <a:pt x="9144" y="35052"/>
              </a:lnTo>
              <a:lnTo>
                <a:pt x="16054" y="41962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7430" y="42814"/>
              </a:lnTo>
              <a:lnTo>
                <a:pt x="17200" y="42672"/>
              </a:lnTo>
              <a:lnTo>
                <a:pt x="28956" y="42672"/>
              </a:lnTo>
              <a:lnTo>
                <a:pt x="33528" y="39624"/>
              </a:lnTo>
              <a:lnTo>
                <a:pt x="36576" y="35052"/>
              </a:lnTo>
              <a:lnTo>
                <a:pt x="38100" y="36576"/>
              </a:lnTo>
              <a:lnTo>
                <a:pt x="35052" y="41148"/>
              </a:lnTo>
              <a:lnTo>
                <a:pt x="30480" y="44196"/>
              </a:lnTo>
              <a:close/>
            </a:path>
            <a:path w="38100" h="44450">
              <a:moveTo>
                <a:pt x="17200" y="42672"/>
              </a:moveTo>
              <a:lnTo>
                <a:pt x="16764" y="42672"/>
              </a:lnTo>
              <a:lnTo>
                <a:pt x="16054" y="41962"/>
              </a:lnTo>
              <a:lnTo>
                <a:pt x="17200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55</xdr:row>
      <xdr:rowOff>0</xdr:rowOff>
    </xdr:from>
    <xdr:ext cx="38100" cy="44450"/>
    <xdr:sp macro="" textlink="">
      <xdr:nvSpPr>
        <xdr:cNvPr id="19" name="Shape 918">
          <a:extLst>
            <a:ext uri="{FF2B5EF4-FFF2-40B4-BE49-F238E27FC236}">
              <a16:creationId xmlns:a16="http://schemas.microsoft.com/office/drawing/2014/main" id="{8F85CDBF-6BC3-450B-8933-4A51EBA8D175}"/>
            </a:ext>
          </a:extLst>
        </xdr:cNvPr>
        <xdr:cNvSpPr/>
      </xdr:nvSpPr>
      <xdr:spPr>
        <a:xfrm>
          <a:off x="15049500" y="12106275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4572" y="0"/>
              </a:lnTo>
              <a:lnTo>
                <a:pt x="6096" y="1524"/>
              </a:lnTo>
              <a:lnTo>
                <a:pt x="3048" y="1524"/>
              </a:lnTo>
              <a:lnTo>
                <a:pt x="1524" y="3048"/>
              </a:lnTo>
              <a:lnTo>
                <a:pt x="1524" y="4572"/>
              </a:lnTo>
              <a:lnTo>
                <a:pt x="3048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28956" y="6096"/>
              </a:lnTo>
              <a:lnTo>
                <a:pt x="17200" y="6096"/>
              </a:lnTo>
              <a:lnTo>
                <a:pt x="17430" y="5953"/>
              </a:lnTo>
              <a:lnTo>
                <a:pt x="24384" y="4572"/>
              </a:lnTo>
              <a:lnTo>
                <a:pt x="32004" y="4572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15268" y="7292"/>
              </a:moveTo>
              <a:lnTo>
                <a:pt x="16764" y="6096"/>
              </a:lnTo>
              <a:lnTo>
                <a:pt x="17200" y="6096"/>
              </a:lnTo>
              <a:lnTo>
                <a:pt x="15268" y="7292"/>
              </a:lnTo>
              <a:close/>
            </a:path>
            <a:path w="38100" h="44450">
              <a:moveTo>
                <a:pt x="9629" y="11803"/>
              </a:moveTo>
              <a:lnTo>
                <a:pt x="11049" y="9906"/>
              </a:lnTo>
              <a:lnTo>
                <a:pt x="14739" y="7620"/>
              </a:lnTo>
              <a:lnTo>
                <a:pt x="12001" y="9906"/>
              </a:lnTo>
              <a:lnTo>
                <a:pt x="9629" y="11803"/>
              </a:lnTo>
              <a:close/>
            </a:path>
            <a:path w="38100" h="44450">
              <a:moveTo>
                <a:pt x="9144" y="12452"/>
              </a:moveTo>
              <a:lnTo>
                <a:pt x="9144" y="12192"/>
              </a:lnTo>
              <a:lnTo>
                <a:pt x="9629" y="11803"/>
              </a:lnTo>
              <a:lnTo>
                <a:pt x="9144" y="12452"/>
              </a:lnTo>
              <a:close/>
            </a:path>
            <a:path w="38100" h="44450">
              <a:moveTo>
                <a:pt x="16947" y="42914"/>
              </a:moveTo>
              <a:lnTo>
                <a:pt x="10477" y="38862"/>
              </a:lnTo>
              <a:lnTo>
                <a:pt x="6167" y="32623"/>
              </a:lnTo>
              <a:lnTo>
                <a:pt x="4572" y="24384"/>
              </a:lnTo>
              <a:lnTo>
                <a:pt x="6381" y="16144"/>
              </a:lnTo>
              <a:lnTo>
                <a:pt x="9144" y="12452"/>
              </a:lnTo>
              <a:lnTo>
                <a:pt x="9144" y="35052"/>
              </a:lnTo>
              <a:lnTo>
                <a:pt x="16947" y="42914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6002" y="42672"/>
              </a:lnTo>
              <a:lnTo>
                <a:pt x="28956" y="42672"/>
              </a:lnTo>
              <a:lnTo>
                <a:pt x="33528" y="39624"/>
              </a:lnTo>
              <a:lnTo>
                <a:pt x="36576" y="35052"/>
              </a:lnTo>
              <a:lnTo>
                <a:pt x="38100" y="36576"/>
              </a:lnTo>
              <a:lnTo>
                <a:pt x="35052" y="41148"/>
              </a:lnTo>
              <a:lnTo>
                <a:pt x="30480" y="44196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55</xdr:row>
      <xdr:rowOff>0</xdr:rowOff>
    </xdr:from>
    <xdr:ext cx="36830" cy="44450"/>
    <xdr:sp macro="" textlink="">
      <xdr:nvSpPr>
        <xdr:cNvPr id="20" name="Shape 919">
          <a:extLst>
            <a:ext uri="{FF2B5EF4-FFF2-40B4-BE49-F238E27FC236}">
              <a16:creationId xmlns:a16="http://schemas.microsoft.com/office/drawing/2014/main" id="{A068848D-E20F-41CD-8E47-08C2A7746E25}"/>
            </a:ext>
          </a:extLst>
        </xdr:cNvPr>
        <xdr:cNvSpPr/>
      </xdr:nvSpPr>
      <xdr:spPr>
        <a:xfrm>
          <a:off x="15049500" y="12106275"/>
          <a:ext cx="36830" cy="44450"/>
        </a:xfrm>
        <a:custGeom>
          <a:avLst/>
          <a:gdLst/>
          <a:ahLst/>
          <a:cxnLst/>
          <a:rect l="0" t="0" r="0" b="0"/>
          <a:pathLst>
            <a:path w="36830" h="44450">
              <a:moveTo>
                <a:pt x="3133" y="7534"/>
              </a:moveTo>
              <a:lnTo>
                <a:pt x="1481" y="7534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3048" y="0"/>
              </a:lnTo>
              <a:lnTo>
                <a:pt x="6096" y="1524"/>
              </a:lnTo>
              <a:lnTo>
                <a:pt x="1524" y="1524"/>
              </a:lnTo>
              <a:lnTo>
                <a:pt x="1524" y="6096"/>
              </a:lnTo>
              <a:lnTo>
                <a:pt x="4572" y="6096"/>
              </a:lnTo>
              <a:lnTo>
                <a:pt x="3133" y="7534"/>
              </a:lnTo>
              <a:close/>
            </a:path>
            <a:path w="36830" h="44450">
              <a:moveTo>
                <a:pt x="4572" y="6096"/>
              </a:moveTo>
              <a:lnTo>
                <a:pt x="3048" y="6096"/>
              </a:lnTo>
              <a:lnTo>
                <a:pt x="4572" y="4572"/>
              </a:lnTo>
              <a:lnTo>
                <a:pt x="4572" y="3048"/>
              </a:lnTo>
              <a:lnTo>
                <a:pt x="3048" y="1524"/>
              </a:lnTo>
              <a:lnTo>
                <a:pt x="6096" y="1524"/>
              </a:lnTo>
              <a:lnTo>
                <a:pt x="6096" y="4572"/>
              </a:lnTo>
              <a:lnTo>
                <a:pt x="4572" y="6096"/>
              </a:lnTo>
              <a:close/>
            </a:path>
            <a:path w="36830" h="44450">
              <a:moveTo>
                <a:pt x="35052" y="13716"/>
              </a:moveTo>
              <a:lnTo>
                <a:pt x="31961" y="7534"/>
              </a:lnTo>
              <a:lnTo>
                <a:pt x="31832" y="7534"/>
              </a:lnTo>
              <a:lnTo>
                <a:pt x="28956" y="6096"/>
              </a:lnTo>
              <a:lnTo>
                <a:pt x="15933" y="6096"/>
              </a:lnTo>
              <a:lnTo>
                <a:pt x="16144" y="5953"/>
              </a:lnTo>
              <a:lnTo>
                <a:pt x="22860" y="4572"/>
              </a:lnTo>
              <a:lnTo>
                <a:pt x="30480" y="4572"/>
              </a:lnTo>
              <a:lnTo>
                <a:pt x="35052" y="6096"/>
              </a:lnTo>
              <a:lnTo>
                <a:pt x="35052" y="13716"/>
              </a:lnTo>
              <a:close/>
            </a:path>
            <a:path w="36830" h="44450">
              <a:moveTo>
                <a:pt x="13801" y="7534"/>
              </a:moveTo>
              <a:lnTo>
                <a:pt x="15240" y="6096"/>
              </a:lnTo>
              <a:lnTo>
                <a:pt x="15933" y="6096"/>
              </a:lnTo>
              <a:lnTo>
                <a:pt x="13801" y="7534"/>
              </a:lnTo>
              <a:close/>
            </a:path>
            <a:path w="36830" h="44450">
              <a:moveTo>
                <a:pt x="14426" y="41655"/>
              </a:moveTo>
              <a:lnTo>
                <a:pt x="10287" y="38862"/>
              </a:lnTo>
              <a:lnTo>
                <a:pt x="6143" y="32623"/>
              </a:lnTo>
              <a:lnTo>
                <a:pt x="4572" y="24384"/>
              </a:lnTo>
              <a:lnTo>
                <a:pt x="6143" y="16144"/>
              </a:lnTo>
              <a:lnTo>
                <a:pt x="10287" y="9906"/>
              </a:lnTo>
              <a:lnTo>
                <a:pt x="13801" y="7534"/>
              </a:lnTo>
              <a:lnTo>
                <a:pt x="9144" y="12192"/>
              </a:lnTo>
              <a:lnTo>
                <a:pt x="9144" y="35052"/>
              </a:lnTo>
              <a:lnTo>
                <a:pt x="14426" y="41655"/>
              </a:lnTo>
              <a:close/>
            </a:path>
            <a:path w="36830" h="44450">
              <a:moveTo>
                <a:pt x="28956" y="44196"/>
              </a:moveTo>
              <a:lnTo>
                <a:pt x="22860" y="44196"/>
              </a:lnTo>
              <a:lnTo>
                <a:pt x="16144" y="42814"/>
              </a:lnTo>
              <a:lnTo>
                <a:pt x="15933" y="42672"/>
              </a:lnTo>
              <a:lnTo>
                <a:pt x="27432" y="42672"/>
              </a:lnTo>
              <a:lnTo>
                <a:pt x="32004" y="39624"/>
              </a:lnTo>
              <a:lnTo>
                <a:pt x="35052" y="35052"/>
              </a:lnTo>
              <a:lnTo>
                <a:pt x="36576" y="36576"/>
              </a:lnTo>
              <a:lnTo>
                <a:pt x="33528" y="41148"/>
              </a:lnTo>
              <a:lnTo>
                <a:pt x="28956" y="44196"/>
              </a:lnTo>
              <a:close/>
            </a:path>
            <a:path w="36830" h="44450">
              <a:moveTo>
                <a:pt x="15933" y="42672"/>
              </a:moveTo>
              <a:lnTo>
                <a:pt x="15240" y="42672"/>
              </a:lnTo>
              <a:lnTo>
                <a:pt x="14426" y="41655"/>
              </a:lnTo>
              <a:lnTo>
                <a:pt x="15933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55</xdr:row>
      <xdr:rowOff>0</xdr:rowOff>
    </xdr:from>
    <xdr:ext cx="38100" cy="44450"/>
    <xdr:sp macro="" textlink="">
      <xdr:nvSpPr>
        <xdr:cNvPr id="21" name="Shape 920">
          <a:extLst>
            <a:ext uri="{FF2B5EF4-FFF2-40B4-BE49-F238E27FC236}">
              <a16:creationId xmlns:a16="http://schemas.microsoft.com/office/drawing/2014/main" id="{2F4B78B8-A264-4430-8EDD-91DDA23F4457}"/>
            </a:ext>
          </a:extLst>
        </xdr:cNvPr>
        <xdr:cNvSpPr/>
      </xdr:nvSpPr>
      <xdr:spPr>
        <a:xfrm>
          <a:off x="15049500" y="12106275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4572" y="0"/>
              </a:lnTo>
              <a:lnTo>
                <a:pt x="6096" y="1524"/>
              </a:lnTo>
              <a:lnTo>
                <a:pt x="1524" y="1524"/>
              </a:lnTo>
              <a:lnTo>
                <a:pt x="1524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28956" y="44196"/>
              </a:moveTo>
              <a:lnTo>
                <a:pt x="22860" y="44196"/>
              </a:lnTo>
              <a:lnTo>
                <a:pt x="16144" y="42814"/>
              </a:lnTo>
              <a:lnTo>
                <a:pt x="10287" y="38862"/>
              </a:lnTo>
              <a:lnTo>
                <a:pt x="6143" y="32623"/>
              </a:lnTo>
              <a:lnTo>
                <a:pt x="4572" y="24384"/>
              </a:lnTo>
              <a:lnTo>
                <a:pt x="6143" y="16144"/>
              </a:lnTo>
              <a:lnTo>
                <a:pt x="10287" y="9906"/>
              </a:lnTo>
              <a:lnTo>
                <a:pt x="16144" y="5953"/>
              </a:lnTo>
              <a:lnTo>
                <a:pt x="22860" y="4572"/>
              </a:lnTo>
              <a:lnTo>
                <a:pt x="30480" y="4572"/>
              </a:lnTo>
              <a:lnTo>
                <a:pt x="35052" y="6096"/>
              </a:lnTo>
              <a:lnTo>
                <a:pt x="16764" y="6096"/>
              </a:lnTo>
              <a:lnTo>
                <a:pt x="9144" y="12192"/>
              </a:lnTo>
              <a:lnTo>
                <a:pt x="9144" y="35052"/>
              </a:lnTo>
              <a:lnTo>
                <a:pt x="16764" y="42672"/>
              </a:lnTo>
              <a:lnTo>
                <a:pt x="31242" y="42672"/>
              </a:lnTo>
              <a:lnTo>
                <a:pt x="28956" y="441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2004" y="7620"/>
              </a:lnTo>
              <a:lnTo>
                <a:pt x="28956" y="6096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31242" y="42672"/>
              </a:moveTo>
              <a:lnTo>
                <a:pt x="28956" y="42672"/>
              </a:lnTo>
              <a:lnTo>
                <a:pt x="33528" y="39624"/>
              </a:lnTo>
              <a:lnTo>
                <a:pt x="35052" y="35052"/>
              </a:lnTo>
              <a:lnTo>
                <a:pt x="38100" y="36576"/>
              </a:lnTo>
              <a:lnTo>
                <a:pt x="33528" y="41148"/>
              </a:lnTo>
              <a:lnTo>
                <a:pt x="31242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6</xdr:col>
      <xdr:colOff>0</xdr:colOff>
      <xdr:row>96</xdr:row>
      <xdr:rowOff>0</xdr:rowOff>
    </xdr:from>
    <xdr:ext cx="41275" cy="114300"/>
    <xdr:sp macro="" textlink="">
      <xdr:nvSpPr>
        <xdr:cNvPr id="22" name="Shape 911">
          <a:extLst>
            <a:ext uri="{FF2B5EF4-FFF2-40B4-BE49-F238E27FC236}">
              <a16:creationId xmlns:a16="http://schemas.microsoft.com/office/drawing/2014/main" id="{0C58AD43-ACB4-4FC2-A94B-7EF446059158}"/>
            </a:ext>
          </a:extLst>
        </xdr:cNvPr>
        <xdr:cNvSpPr/>
      </xdr:nvSpPr>
      <xdr:spPr>
        <a:xfrm>
          <a:off x="5981700" y="21135975"/>
          <a:ext cx="41275" cy="114300"/>
        </a:xfrm>
        <a:custGeom>
          <a:avLst/>
          <a:gdLst/>
          <a:ahLst/>
          <a:cxnLst/>
          <a:rect l="0" t="0" r="0" b="0"/>
          <a:pathLst>
            <a:path w="41275" h="114300">
              <a:moveTo>
                <a:pt x="6096" y="3048"/>
              </a:moveTo>
              <a:lnTo>
                <a:pt x="5334" y="1524"/>
              </a:lnTo>
              <a:lnTo>
                <a:pt x="4572" y="0"/>
              </a:lnTo>
              <a:lnTo>
                <a:pt x="4572" y="1524"/>
              </a:lnTo>
              <a:lnTo>
                <a:pt x="4572" y="6096"/>
              </a:lnTo>
              <a:lnTo>
                <a:pt x="1524" y="6096"/>
              </a:lnTo>
              <a:lnTo>
                <a:pt x="1524" y="3048"/>
              </a:lnTo>
              <a:lnTo>
                <a:pt x="3048" y="1524"/>
              </a:lnTo>
              <a:lnTo>
                <a:pt x="4572" y="1524"/>
              </a:lnTo>
              <a:lnTo>
                <a:pt x="4572" y="0"/>
              </a:lnTo>
              <a:lnTo>
                <a:pt x="3048" y="0"/>
              </a:lnTo>
              <a:lnTo>
                <a:pt x="0" y="3048"/>
              </a:lnTo>
              <a:lnTo>
                <a:pt x="0" y="6096"/>
              </a:lnTo>
              <a:lnTo>
                <a:pt x="3048" y="7620"/>
              </a:lnTo>
              <a:lnTo>
                <a:pt x="4572" y="7620"/>
              </a:lnTo>
              <a:lnTo>
                <a:pt x="6096" y="6096"/>
              </a:lnTo>
              <a:lnTo>
                <a:pt x="6096" y="3048"/>
              </a:lnTo>
              <a:close/>
            </a:path>
            <a:path w="41275" h="114300">
              <a:moveTo>
                <a:pt x="9156" y="73139"/>
              </a:moveTo>
              <a:lnTo>
                <a:pt x="8394" y="71615"/>
              </a:lnTo>
              <a:lnTo>
                <a:pt x="7632" y="70091"/>
              </a:lnTo>
              <a:lnTo>
                <a:pt x="7632" y="71615"/>
              </a:lnTo>
              <a:lnTo>
                <a:pt x="7632" y="76187"/>
              </a:lnTo>
              <a:lnTo>
                <a:pt x="4584" y="76187"/>
              </a:lnTo>
              <a:lnTo>
                <a:pt x="4584" y="73139"/>
              </a:lnTo>
              <a:lnTo>
                <a:pt x="6108" y="71615"/>
              </a:lnTo>
              <a:lnTo>
                <a:pt x="7632" y="71615"/>
              </a:lnTo>
              <a:lnTo>
                <a:pt x="7632" y="70091"/>
              </a:lnTo>
              <a:lnTo>
                <a:pt x="6108" y="70091"/>
              </a:lnTo>
              <a:lnTo>
                <a:pt x="3060" y="73139"/>
              </a:lnTo>
              <a:lnTo>
                <a:pt x="3060" y="76187"/>
              </a:lnTo>
              <a:lnTo>
                <a:pt x="6108" y="77711"/>
              </a:lnTo>
              <a:lnTo>
                <a:pt x="7632" y="77711"/>
              </a:lnTo>
              <a:lnTo>
                <a:pt x="9156" y="76187"/>
              </a:lnTo>
              <a:lnTo>
                <a:pt x="9156" y="73139"/>
              </a:lnTo>
              <a:close/>
            </a:path>
            <a:path w="41275" h="114300">
              <a:moveTo>
                <a:pt x="16764" y="42672"/>
              </a:moveTo>
              <a:lnTo>
                <a:pt x="9144" y="36576"/>
              </a:lnTo>
              <a:lnTo>
                <a:pt x="9144" y="13716"/>
              </a:lnTo>
              <a:lnTo>
                <a:pt x="12192" y="10668"/>
              </a:lnTo>
              <a:lnTo>
                <a:pt x="14808" y="7975"/>
              </a:lnTo>
              <a:lnTo>
                <a:pt x="11049" y="10668"/>
              </a:lnTo>
              <a:lnTo>
                <a:pt x="6388" y="17424"/>
              </a:lnTo>
              <a:lnTo>
                <a:pt x="4572" y="25908"/>
              </a:lnTo>
              <a:lnTo>
                <a:pt x="6388" y="33909"/>
              </a:lnTo>
              <a:lnTo>
                <a:pt x="11049" y="39624"/>
              </a:lnTo>
              <a:lnTo>
                <a:pt x="16764" y="42672"/>
              </a:lnTo>
              <a:close/>
            </a:path>
            <a:path w="41275" h="114300">
              <a:moveTo>
                <a:pt x="17437" y="6096"/>
              </a:moveTo>
              <a:lnTo>
                <a:pt x="16764" y="6096"/>
              </a:lnTo>
              <a:lnTo>
                <a:pt x="15303" y="7620"/>
              </a:lnTo>
              <a:lnTo>
                <a:pt x="17437" y="6096"/>
              </a:lnTo>
              <a:close/>
            </a:path>
            <a:path w="41275" h="114300">
              <a:moveTo>
                <a:pt x="36576" y="13716"/>
              </a:moveTo>
              <a:lnTo>
                <a:pt x="35052" y="6096"/>
              </a:lnTo>
              <a:lnTo>
                <a:pt x="32004" y="6096"/>
              </a:lnTo>
              <a:lnTo>
                <a:pt x="28956" y="4572"/>
              </a:lnTo>
              <a:lnTo>
                <a:pt x="24384" y="4572"/>
              </a:lnTo>
              <a:lnTo>
                <a:pt x="17843" y="6096"/>
              </a:lnTo>
              <a:lnTo>
                <a:pt x="30480" y="6096"/>
              </a:lnTo>
              <a:lnTo>
                <a:pt x="33528" y="7620"/>
              </a:lnTo>
              <a:lnTo>
                <a:pt x="33629" y="7975"/>
              </a:lnTo>
              <a:lnTo>
                <a:pt x="35052" y="13716"/>
              </a:lnTo>
              <a:lnTo>
                <a:pt x="36576" y="13716"/>
              </a:lnTo>
              <a:close/>
            </a:path>
            <a:path w="41275" h="114300">
              <a:moveTo>
                <a:pt x="38100" y="36576"/>
              </a:moveTo>
              <a:lnTo>
                <a:pt x="36576" y="36576"/>
              </a:lnTo>
              <a:lnTo>
                <a:pt x="33528" y="41148"/>
              </a:lnTo>
              <a:lnTo>
                <a:pt x="28956" y="42672"/>
              </a:lnTo>
              <a:lnTo>
                <a:pt x="16764" y="42672"/>
              </a:lnTo>
              <a:lnTo>
                <a:pt x="17437" y="43053"/>
              </a:lnTo>
              <a:lnTo>
                <a:pt x="24384" y="44196"/>
              </a:lnTo>
              <a:lnTo>
                <a:pt x="30480" y="44196"/>
              </a:lnTo>
              <a:lnTo>
                <a:pt x="35052" y="42672"/>
              </a:lnTo>
              <a:lnTo>
                <a:pt x="38100" y="36576"/>
              </a:lnTo>
              <a:close/>
            </a:path>
            <a:path w="41275" h="114300">
              <a:moveTo>
                <a:pt x="39636" y="83807"/>
              </a:moveTo>
              <a:lnTo>
                <a:pt x="38112" y="76187"/>
              </a:lnTo>
              <a:lnTo>
                <a:pt x="35064" y="76187"/>
              </a:lnTo>
              <a:lnTo>
                <a:pt x="32016" y="74663"/>
              </a:lnTo>
              <a:lnTo>
                <a:pt x="27444" y="74663"/>
              </a:lnTo>
              <a:lnTo>
                <a:pt x="19900" y="76187"/>
              </a:lnTo>
              <a:lnTo>
                <a:pt x="18694" y="77317"/>
              </a:lnTo>
              <a:lnTo>
                <a:pt x="20485" y="76187"/>
              </a:lnTo>
              <a:lnTo>
                <a:pt x="32016" y="76187"/>
              </a:lnTo>
              <a:lnTo>
                <a:pt x="36588" y="77711"/>
              </a:lnTo>
              <a:lnTo>
                <a:pt x="38112" y="83807"/>
              </a:lnTo>
              <a:lnTo>
                <a:pt x="39636" y="83807"/>
              </a:lnTo>
              <a:close/>
            </a:path>
            <a:path w="41275" h="114300">
              <a:moveTo>
                <a:pt x="41160" y="106667"/>
              </a:moveTo>
              <a:lnTo>
                <a:pt x="39636" y="106667"/>
              </a:lnTo>
              <a:lnTo>
                <a:pt x="36588" y="111239"/>
              </a:lnTo>
              <a:lnTo>
                <a:pt x="32016" y="112763"/>
              </a:lnTo>
              <a:lnTo>
                <a:pt x="19824" y="112763"/>
              </a:lnTo>
              <a:lnTo>
                <a:pt x="12204" y="106667"/>
              </a:lnTo>
              <a:lnTo>
                <a:pt x="12204" y="83807"/>
              </a:lnTo>
              <a:lnTo>
                <a:pt x="18694" y="77317"/>
              </a:lnTo>
              <a:lnTo>
                <a:pt x="14109" y="80187"/>
              </a:lnTo>
              <a:lnTo>
                <a:pt x="9436" y="86880"/>
              </a:lnTo>
              <a:lnTo>
                <a:pt x="7632" y="95999"/>
              </a:lnTo>
              <a:lnTo>
                <a:pt x="9220" y="104000"/>
              </a:lnTo>
              <a:lnTo>
                <a:pt x="13538" y="109715"/>
              </a:lnTo>
              <a:lnTo>
                <a:pt x="19837" y="113144"/>
              </a:lnTo>
              <a:lnTo>
                <a:pt x="27444" y="114287"/>
              </a:lnTo>
              <a:lnTo>
                <a:pt x="33540" y="114287"/>
              </a:lnTo>
              <a:lnTo>
                <a:pt x="38112" y="112763"/>
              </a:lnTo>
              <a:lnTo>
                <a:pt x="41160" y="106667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7</xdr:col>
      <xdr:colOff>77215</xdr:colOff>
      <xdr:row>96</xdr:row>
      <xdr:rowOff>0</xdr:rowOff>
    </xdr:from>
    <xdr:ext cx="38100" cy="44450"/>
    <xdr:sp macro="" textlink="">
      <xdr:nvSpPr>
        <xdr:cNvPr id="23" name="Shape 912">
          <a:extLst>
            <a:ext uri="{FF2B5EF4-FFF2-40B4-BE49-F238E27FC236}">
              <a16:creationId xmlns:a16="http://schemas.microsoft.com/office/drawing/2014/main" id="{48135C4B-1A97-420D-ABDA-72B9C22B4B2A}"/>
            </a:ext>
          </a:extLst>
        </xdr:cNvPr>
        <xdr:cNvSpPr/>
      </xdr:nvSpPr>
      <xdr:spPr>
        <a:xfrm>
          <a:off x="7182865" y="21135975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6024"/>
              </a:lnTo>
              <a:lnTo>
                <a:pt x="0" y="3048"/>
              </a:lnTo>
              <a:lnTo>
                <a:pt x="1524" y="0"/>
              </a:lnTo>
              <a:lnTo>
                <a:pt x="4572" y="0"/>
              </a:lnTo>
              <a:lnTo>
                <a:pt x="5334" y="1524"/>
              </a:lnTo>
              <a:lnTo>
                <a:pt x="1524" y="1524"/>
              </a:lnTo>
              <a:lnTo>
                <a:pt x="1524" y="6024"/>
              </a:lnTo>
              <a:lnTo>
                <a:pt x="6167" y="6024"/>
              </a:lnTo>
              <a:lnTo>
                <a:pt x="4572" y="7620"/>
              </a:lnTo>
              <a:close/>
            </a:path>
            <a:path w="38100" h="44450">
              <a:moveTo>
                <a:pt x="6096" y="6024"/>
              </a:moveTo>
              <a:lnTo>
                <a:pt x="4572" y="6024"/>
              </a:lnTo>
              <a:lnTo>
                <a:pt x="4572" y="1524"/>
              </a:lnTo>
              <a:lnTo>
                <a:pt x="5334" y="1524"/>
              </a:lnTo>
              <a:lnTo>
                <a:pt x="6096" y="3048"/>
              </a:lnTo>
              <a:lnTo>
                <a:pt x="6096" y="6024"/>
              </a:lnTo>
              <a:close/>
            </a:path>
            <a:path w="38100" h="44450">
              <a:moveTo>
                <a:pt x="30408" y="6024"/>
              </a:moveTo>
              <a:lnTo>
                <a:pt x="16835" y="6024"/>
              </a:lnTo>
              <a:lnTo>
                <a:pt x="22860" y="4572"/>
              </a:lnTo>
              <a:lnTo>
                <a:pt x="28956" y="4572"/>
              </a:lnTo>
              <a:lnTo>
                <a:pt x="30408" y="6024"/>
              </a:lnTo>
              <a:close/>
            </a:path>
            <a:path w="38100" h="44450">
              <a:moveTo>
                <a:pt x="28956" y="44196"/>
              </a:moveTo>
              <a:lnTo>
                <a:pt x="24384" y="44196"/>
              </a:lnTo>
              <a:lnTo>
                <a:pt x="16787" y="43053"/>
              </a:lnTo>
              <a:lnTo>
                <a:pt x="10477" y="39624"/>
              </a:lnTo>
              <a:lnTo>
                <a:pt x="6167" y="33909"/>
              </a:lnTo>
              <a:lnTo>
                <a:pt x="4572" y="25908"/>
              </a:lnTo>
              <a:lnTo>
                <a:pt x="6143" y="17430"/>
              </a:lnTo>
              <a:lnTo>
                <a:pt x="10287" y="10668"/>
              </a:lnTo>
              <a:lnTo>
                <a:pt x="16362" y="6024"/>
              </a:lnTo>
              <a:lnTo>
                <a:pt x="16771" y="6024"/>
              </a:lnTo>
              <a:lnTo>
                <a:pt x="9144" y="13716"/>
              </a:lnTo>
              <a:lnTo>
                <a:pt x="9144" y="36576"/>
              </a:lnTo>
              <a:lnTo>
                <a:pt x="16764" y="42672"/>
              </a:lnTo>
              <a:lnTo>
                <a:pt x="35052" y="42672"/>
              </a:lnTo>
              <a:lnTo>
                <a:pt x="28956" y="441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28742" y="6024"/>
              </a:lnTo>
              <a:lnTo>
                <a:pt x="35037" y="6024"/>
              </a:lnTo>
              <a:lnTo>
                <a:pt x="36576" y="13716"/>
              </a:lnTo>
              <a:close/>
            </a:path>
            <a:path w="38100" h="44450">
              <a:moveTo>
                <a:pt x="35052" y="42672"/>
              </a:moveTo>
              <a:lnTo>
                <a:pt x="28956" y="42672"/>
              </a:lnTo>
              <a:lnTo>
                <a:pt x="33528" y="41148"/>
              </a:lnTo>
              <a:lnTo>
                <a:pt x="35052" y="36576"/>
              </a:lnTo>
              <a:lnTo>
                <a:pt x="38100" y="36576"/>
              </a:lnTo>
              <a:lnTo>
                <a:pt x="35052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9</xdr:col>
      <xdr:colOff>29463</xdr:colOff>
      <xdr:row>96</xdr:row>
      <xdr:rowOff>0</xdr:rowOff>
    </xdr:from>
    <xdr:ext cx="38100" cy="44450"/>
    <xdr:sp macro="" textlink="">
      <xdr:nvSpPr>
        <xdr:cNvPr id="24" name="Shape 913">
          <a:extLst>
            <a:ext uri="{FF2B5EF4-FFF2-40B4-BE49-F238E27FC236}">
              <a16:creationId xmlns:a16="http://schemas.microsoft.com/office/drawing/2014/main" id="{1543F2D7-60F6-4624-BAE9-87C9404F24E1}"/>
            </a:ext>
          </a:extLst>
        </xdr:cNvPr>
        <xdr:cNvSpPr/>
      </xdr:nvSpPr>
      <xdr:spPr>
        <a:xfrm>
          <a:off x="9381108" y="21135975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3048" y="7620"/>
              </a:lnTo>
              <a:lnTo>
                <a:pt x="0" y="6096"/>
              </a:lnTo>
              <a:lnTo>
                <a:pt x="0" y="3048"/>
              </a:lnTo>
              <a:lnTo>
                <a:pt x="3048" y="0"/>
              </a:lnTo>
              <a:lnTo>
                <a:pt x="4572" y="0"/>
              </a:lnTo>
              <a:lnTo>
                <a:pt x="5334" y="1524"/>
              </a:lnTo>
              <a:lnTo>
                <a:pt x="3048" y="1524"/>
              </a:lnTo>
              <a:lnTo>
                <a:pt x="1524" y="3048"/>
              </a:lnTo>
              <a:lnTo>
                <a:pt x="1524" y="6096"/>
              </a:lnTo>
              <a:lnTo>
                <a:pt x="6096" y="6096"/>
              </a:lnTo>
              <a:lnTo>
                <a:pt x="4572" y="7620"/>
              </a:lnTo>
              <a:close/>
            </a:path>
            <a:path w="38100" h="44450">
              <a:moveTo>
                <a:pt x="6096" y="6096"/>
              </a:moveTo>
              <a:lnTo>
                <a:pt x="4572" y="6096"/>
              </a:lnTo>
              <a:lnTo>
                <a:pt x="4572" y="1524"/>
              </a:lnTo>
              <a:lnTo>
                <a:pt x="5334" y="1524"/>
              </a:lnTo>
              <a:lnTo>
                <a:pt x="6096" y="3048"/>
              </a:lnTo>
              <a:lnTo>
                <a:pt x="6096" y="6096"/>
              </a:lnTo>
              <a:close/>
            </a:path>
            <a:path w="38100" h="44450">
              <a:moveTo>
                <a:pt x="32004" y="6096"/>
              </a:moveTo>
              <a:lnTo>
                <a:pt x="17839" y="6096"/>
              </a:lnTo>
              <a:lnTo>
                <a:pt x="24384" y="4572"/>
              </a:lnTo>
              <a:lnTo>
                <a:pt x="28956" y="4572"/>
              </a:lnTo>
              <a:lnTo>
                <a:pt x="32004" y="6096"/>
              </a:lnTo>
              <a:close/>
            </a:path>
            <a:path w="38100" h="44450">
              <a:moveTo>
                <a:pt x="15303" y="7620"/>
              </a:moveTo>
              <a:lnTo>
                <a:pt x="16764" y="6096"/>
              </a:lnTo>
              <a:lnTo>
                <a:pt x="17430" y="6096"/>
              </a:lnTo>
              <a:lnTo>
                <a:pt x="15303" y="7620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618" y="7981"/>
              </a:lnTo>
              <a:lnTo>
                <a:pt x="33528" y="7620"/>
              </a:lnTo>
              <a:lnTo>
                <a:pt x="30480" y="6096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16764" y="42672"/>
              </a:moveTo>
              <a:lnTo>
                <a:pt x="11049" y="39624"/>
              </a:lnTo>
              <a:lnTo>
                <a:pt x="6381" y="33909"/>
              </a:lnTo>
              <a:lnTo>
                <a:pt x="4572" y="25908"/>
              </a:lnTo>
              <a:lnTo>
                <a:pt x="6381" y="17430"/>
              </a:lnTo>
              <a:lnTo>
                <a:pt x="11049" y="10668"/>
              </a:lnTo>
              <a:lnTo>
                <a:pt x="14798" y="7981"/>
              </a:lnTo>
              <a:lnTo>
                <a:pt x="12192" y="10668"/>
              </a:lnTo>
              <a:lnTo>
                <a:pt x="9144" y="13716"/>
              </a:lnTo>
              <a:lnTo>
                <a:pt x="9144" y="36576"/>
              </a:lnTo>
              <a:lnTo>
                <a:pt x="16764" y="42672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7430" y="43053"/>
              </a:lnTo>
              <a:lnTo>
                <a:pt x="16721" y="42672"/>
              </a:lnTo>
              <a:lnTo>
                <a:pt x="28956" y="42672"/>
              </a:lnTo>
              <a:lnTo>
                <a:pt x="33528" y="41148"/>
              </a:lnTo>
              <a:lnTo>
                <a:pt x="36576" y="36576"/>
              </a:lnTo>
              <a:lnTo>
                <a:pt x="38100" y="36576"/>
              </a:lnTo>
              <a:lnTo>
                <a:pt x="35052" y="42672"/>
              </a:lnTo>
              <a:lnTo>
                <a:pt x="30480" y="44196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6</xdr:col>
      <xdr:colOff>92582</xdr:colOff>
      <xdr:row>96</xdr:row>
      <xdr:rowOff>0</xdr:rowOff>
    </xdr:from>
    <xdr:ext cx="36830" cy="44450"/>
    <xdr:sp macro="" textlink="">
      <xdr:nvSpPr>
        <xdr:cNvPr id="25" name="Shape 914">
          <a:extLst>
            <a:ext uri="{FF2B5EF4-FFF2-40B4-BE49-F238E27FC236}">
              <a16:creationId xmlns:a16="http://schemas.microsoft.com/office/drawing/2014/main" id="{6D2E6FF5-4391-4A36-8573-8707C6D1AD70}"/>
            </a:ext>
          </a:extLst>
        </xdr:cNvPr>
        <xdr:cNvSpPr/>
      </xdr:nvSpPr>
      <xdr:spPr>
        <a:xfrm>
          <a:off x="6078092" y="21135975"/>
          <a:ext cx="36830" cy="44450"/>
        </a:xfrm>
        <a:custGeom>
          <a:avLst/>
          <a:gdLst/>
          <a:ahLst/>
          <a:cxnLst/>
          <a:rect l="0" t="0" r="0" b="0"/>
          <a:pathLst>
            <a:path w="36830" h="44450">
              <a:moveTo>
                <a:pt x="3048" y="7620"/>
              </a:moveTo>
              <a:lnTo>
                <a:pt x="1524" y="7620"/>
              </a:lnTo>
              <a:lnTo>
                <a:pt x="0" y="6096"/>
              </a:lnTo>
              <a:lnTo>
                <a:pt x="0" y="3048"/>
              </a:lnTo>
              <a:lnTo>
                <a:pt x="1524" y="0"/>
              </a:lnTo>
              <a:lnTo>
                <a:pt x="3048" y="0"/>
              </a:lnTo>
              <a:lnTo>
                <a:pt x="4572" y="1524"/>
              </a:lnTo>
              <a:lnTo>
                <a:pt x="1524" y="1524"/>
              </a:lnTo>
              <a:lnTo>
                <a:pt x="1524" y="6096"/>
              </a:lnTo>
              <a:lnTo>
                <a:pt x="6096" y="6096"/>
              </a:lnTo>
              <a:lnTo>
                <a:pt x="3048" y="7620"/>
              </a:lnTo>
              <a:close/>
            </a:path>
            <a:path w="36830" h="44450">
              <a:moveTo>
                <a:pt x="6096" y="6096"/>
              </a:moveTo>
              <a:lnTo>
                <a:pt x="4572" y="6096"/>
              </a:lnTo>
              <a:lnTo>
                <a:pt x="4572" y="3048"/>
              </a:lnTo>
              <a:lnTo>
                <a:pt x="3048" y="1524"/>
              </a:lnTo>
              <a:lnTo>
                <a:pt x="4572" y="1524"/>
              </a:lnTo>
              <a:lnTo>
                <a:pt x="6096" y="3048"/>
              </a:lnTo>
              <a:lnTo>
                <a:pt x="6096" y="6096"/>
              </a:lnTo>
              <a:close/>
            </a:path>
            <a:path w="36830" h="44450">
              <a:moveTo>
                <a:pt x="30480" y="6096"/>
              </a:moveTo>
              <a:lnTo>
                <a:pt x="15575" y="6096"/>
              </a:lnTo>
              <a:lnTo>
                <a:pt x="22860" y="4572"/>
              </a:lnTo>
              <a:lnTo>
                <a:pt x="27432" y="4572"/>
              </a:lnTo>
              <a:lnTo>
                <a:pt x="30480" y="6096"/>
              </a:lnTo>
              <a:close/>
            </a:path>
            <a:path w="36830" h="44450">
              <a:moveTo>
                <a:pt x="14413" y="7278"/>
              </a:moveTo>
              <a:lnTo>
                <a:pt x="15240" y="6096"/>
              </a:lnTo>
              <a:lnTo>
                <a:pt x="16144" y="6096"/>
              </a:lnTo>
              <a:lnTo>
                <a:pt x="14413" y="7278"/>
              </a:lnTo>
              <a:close/>
            </a:path>
            <a:path w="36830" h="44450">
              <a:moveTo>
                <a:pt x="35052" y="13716"/>
              </a:moveTo>
              <a:lnTo>
                <a:pt x="33528" y="13716"/>
              </a:lnTo>
              <a:lnTo>
                <a:pt x="32004" y="7620"/>
              </a:lnTo>
              <a:lnTo>
                <a:pt x="28956" y="6096"/>
              </a:lnTo>
              <a:lnTo>
                <a:pt x="35052" y="6096"/>
              </a:lnTo>
              <a:lnTo>
                <a:pt x="35052" y="13716"/>
              </a:lnTo>
              <a:close/>
            </a:path>
            <a:path w="36830" h="44450">
              <a:moveTo>
                <a:pt x="14881" y="42313"/>
              </a:moveTo>
              <a:lnTo>
                <a:pt x="10287" y="39624"/>
              </a:lnTo>
              <a:lnTo>
                <a:pt x="6143" y="33909"/>
              </a:lnTo>
              <a:lnTo>
                <a:pt x="4572" y="25908"/>
              </a:lnTo>
              <a:lnTo>
                <a:pt x="6143" y="16787"/>
              </a:lnTo>
              <a:lnTo>
                <a:pt x="10287" y="10096"/>
              </a:lnTo>
              <a:lnTo>
                <a:pt x="13913" y="7620"/>
              </a:lnTo>
              <a:lnTo>
                <a:pt x="12039" y="10096"/>
              </a:lnTo>
              <a:lnTo>
                <a:pt x="9144" y="13716"/>
              </a:lnTo>
              <a:lnTo>
                <a:pt x="9144" y="36576"/>
              </a:lnTo>
              <a:lnTo>
                <a:pt x="14881" y="42313"/>
              </a:lnTo>
              <a:close/>
            </a:path>
            <a:path w="36830" h="44450">
              <a:moveTo>
                <a:pt x="28956" y="44196"/>
              </a:moveTo>
              <a:lnTo>
                <a:pt x="22860" y="44196"/>
              </a:lnTo>
              <a:lnTo>
                <a:pt x="16144" y="43053"/>
              </a:lnTo>
              <a:lnTo>
                <a:pt x="15494" y="42672"/>
              </a:lnTo>
              <a:lnTo>
                <a:pt x="27432" y="42672"/>
              </a:lnTo>
              <a:lnTo>
                <a:pt x="32004" y="41148"/>
              </a:lnTo>
              <a:lnTo>
                <a:pt x="35052" y="36576"/>
              </a:lnTo>
              <a:lnTo>
                <a:pt x="36576" y="36576"/>
              </a:lnTo>
              <a:lnTo>
                <a:pt x="33528" y="42672"/>
              </a:lnTo>
              <a:lnTo>
                <a:pt x="28956" y="44196"/>
              </a:lnTo>
              <a:close/>
            </a:path>
            <a:path w="36830" h="44450">
              <a:moveTo>
                <a:pt x="15494" y="42672"/>
              </a:moveTo>
              <a:lnTo>
                <a:pt x="15240" y="42672"/>
              </a:lnTo>
              <a:lnTo>
                <a:pt x="14881" y="42313"/>
              </a:lnTo>
              <a:lnTo>
                <a:pt x="15494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6</xdr:col>
      <xdr:colOff>537322</xdr:colOff>
      <xdr:row>1</xdr:row>
      <xdr:rowOff>35857</xdr:rowOff>
    </xdr:from>
    <xdr:ext cx="3420907" cy="461560"/>
    <xdr:pic>
      <xdr:nvPicPr>
        <xdr:cNvPr id="26" name="Picture 25">
          <a:extLst>
            <a:ext uri="{FF2B5EF4-FFF2-40B4-BE49-F238E27FC236}">
              <a16:creationId xmlns:a16="http://schemas.microsoft.com/office/drawing/2014/main" id="{A1B6A465-A723-480D-BBF0-BF983A0F9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0927" y="254932"/>
          <a:ext cx="3420907" cy="461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83281-9B3A-4737-97F6-577D0BA31899}">
  <dimension ref="B1:AT101"/>
  <sheetViews>
    <sheetView showGridLines="0" tabSelected="1" zoomScale="70" zoomScaleNormal="70" zoomScaleSheetLayoutView="85" workbookViewId="0">
      <selection activeCell="N3" sqref="N3"/>
    </sheetView>
  </sheetViews>
  <sheetFormatPr defaultColWidth="8.77734375" defaultRowHeight="17.399999999999999" x14ac:dyDescent="0.25"/>
  <cols>
    <col min="1" max="1" width="5.44140625" style="6" customWidth="1"/>
    <col min="2" max="2" width="32.77734375" style="6" bestFit="1" customWidth="1"/>
    <col min="3" max="3" width="7.109375" style="6" bestFit="1" customWidth="1"/>
    <col min="4" max="4" width="9.109375" style="6" customWidth="1"/>
    <col min="5" max="13" width="16.33203125" style="58" customWidth="1"/>
    <col min="14" max="14" width="17.44140625" style="58" customWidth="1"/>
    <col min="15" max="19" width="8.77734375" style="6"/>
    <col min="20" max="20" width="8.77734375" style="6" customWidth="1"/>
    <col min="21" max="23" width="8.77734375" style="6" hidden="1" customWidth="1"/>
    <col min="24" max="25" width="0" style="6" hidden="1" customWidth="1"/>
    <col min="26" max="42" width="8.77734375" style="6"/>
    <col min="43" max="43" width="8.77734375" style="12"/>
    <col min="44" max="44" width="8.77734375" style="6"/>
    <col min="45" max="46" width="8.77734375" style="6" customWidth="1"/>
    <col min="47" max="16384" width="8.77734375" style="6"/>
  </cols>
  <sheetData>
    <row r="1" spans="2:46" s="1" customFormat="1" x14ac:dyDescent="0.25">
      <c r="E1" s="2"/>
      <c r="F1" s="2"/>
      <c r="G1" s="2"/>
      <c r="H1" s="2"/>
      <c r="I1" s="2"/>
      <c r="J1" s="2"/>
      <c r="K1" s="2"/>
      <c r="L1" s="2"/>
      <c r="M1" s="2"/>
      <c r="N1" s="2"/>
      <c r="AQ1" s="3"/>
    </row>
    <row r="2" spans="2:46" s="1" customFormat="1" x14ac:dyDescent="0.25">
      <c r="D2" s="4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6"/>
      <c r="AR2" s="7"/>
    </row>
    <row r="3" spans="2:46" s="1" customFormat="1" x14ac:dyDescent="0.25">
      <c r="D3" s="8"/>
      <c r="E3" s="2"/>
      <c r="F3" s="2"/>
      <c r="G3" s="2"/>
      <c r="H3" s="2"/>
      <c r="I3" s="2"/>
      <c r="J3" s="2"/>
      <c r="K3" s="2"/>
      <c r="L3" s="9"/>
      <c r="M3" s="10" t="s">
        <v>57</v>
      </c>
      <c r="N3" s="73">
        <v>7</v>
      </c>
      <c r="O3" s="5"/>
      <c r="T3" s="5"/>
      <c r="U3" s="5"/>
      <c r="V3" s="5" t="s">
        <v>56</v>
      </c>
      <c r="W3" s="11">
        <f>N3-N4</f>
      </c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6"/>
      <c r="AR3" s="6"/>
    </row>
    <row r="4" spans="2:46" s="1" customFormat="1" x14ac:dyDescent="0.25">
      <c r="D4" s="8"/>
      <c r="E4" s="2"/>
      <c r="F4" s="2"/>
      <c r="G4" s="2"/>
      <c r="H4" s="2"/>
      <c r="I4" s="2"/>
      <c r="J4" s="2"/>
      <c r="K4" s="2"/>
      <c r="L4" s="9"/>
      <c r="M4" s="10" t="s">
        <v>55</v>
      </c>
      <c r="N4" s="73">
        <v>12</v>
      </c>
      <c r="O4" s="5"/>
      <c r="T4" s="5"/>
      <c r="U4" s="5"/>
      <c r="V4" s="5" t="s">
        <v>54</v>
      </c>
      <c r="W4" s="11">
        <f>IF((N5-(N4+N3)/2)&lt;0, 0-(N5-(N4+N3)/2),(N5-(N4+N3)/2))</f>
      </c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6"/>
      <c r="AR4" s="6"/>
    </row>
    <row r="5" spans="2:46" s="1" customFormat="1" x14ac:dyDescent="0.25">
      <c r="D5" s="8"/>
      <c r="E5" s="2"/>
      <c r="F5" s="2"/>
      <c r="G5" s="2"/>
      <c r="H5" s="2"/>
      <c r="I5" s="2"/>
      <c r="J5" s="2"/>
      <c r="K5" s="2"/>
      <c r="L5" s="9"/>
      <c r="M5" s="10" t="s">
        <v>53</v>
      </c>
      <c r="N5" s="73">
        <v>27</v>
      </c>
      <c r="O5" s="5"/>
      <c r="T5" s="5"/>
      <c r="U5" s="5"/>
      <c r="V5" s="6"/>
      <c r="W5" s="12">
        <f>IF(N8*(1-$N$10)=0,0.00001,N8*(1-$N$10))</f>
      </c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6"/>
      <c r="AR5" s="6"/>
    </row>
    <row r="6" spans="2:46" s="1" customFormat="1" ht="17.399999999999999" customHeight="1" x14ac:dyDescent="0.25">
      <c r="D6" s="8"/>
      <c r="E6" s="13"/>
      <c r="F6" s="2"/>
      <c r="G6" s="79" t="s">
        <v>65</v>
      </c>
      <c r="H6" s="79"/>
      <c r="I6" s="79"/>
      <c r="J6" s="79"/>
      <c r="K6" s="14"/>
      <c r="L6" s="9"/>
      <c r="M6" s="10" t="s">
        <v>84</v>
      </c>
      <c r="N6" s="73">
        <v>47</v>
      </c>
      <c r="O6" s="5"/>
      <c r="T6" s="5"/>
      <c r="U6" s="5"/>
      <c r="V6" s="6"/>
      <c r="W6" s="12">
        <f>IF(N8*(1+$N$9)=0,0.00001,N8*(1+$N$9))</f>
      </c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6"/>
      <c r="AR6" s="6"/>
    </row>
    <row r="7" spans="2:46" s="1" customFormat="1" ht="17.399999999999999" customHeight="1" x14ac:dyDescent="0.25">
      <c r="D7" s="8"/>
      <c r="E7" s="13"/>
      <c r="F7" s="14"/>
      <c r="G7" s="79"/>
      <c r="H7" s="79"/>
      <c r="I7" s="79"/>
      <c r="J7" s="79"/>
      <c r="K7" s="14"/>
      <c r="L7" s="9"/>
      <c r="O7" s="5"/>
      <c r="P7" s="5"/>
      <c r="Q7" s="5"/>
      <c r="R7" s="5"/>
      <c r="S7" s="5"/>
      <c r="T7" s="5"/>
      <c r="U7" s="5"/>
      <c r="V7" s="5" t="s">
        <v>85</v>
      </c>
      <c r="W7" s="11">
        <f>MAX(0,0.622*($N$6/100*0.61078*EXP(17.27*$N$5/($N$5+237.3)))/(101.325-$N$6/100*0.61078*EXP(17.27*$N$5/($N$5+237.3)))-0.622*0.61078*EXP(17.27*(($N$3+$N$4)/2+3.4)/((($N$3+$N$4)/2+3.4)+237.3))/(101.325-0.61078*EXP(17.27*(($N$3+$N$4)/2+3.4)/((($N$3+$N$4)/2+3.4)+237.3))))</f>
      </c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6"/>
      <c r="AR7" s="6"/>
      <c r="AS7" s="6"/>
    </row>
    <row r="8" spans="2:46" s="1" customFormat="1" ht="17.399999999999999" customHeight="1" x14ac:dyDescent="0.25">
      <c r="D8" s="8"/>
      <c r="E8" s="13"/>
      <c r="F8" s="2"/>
      <c r="G8" s="80" t="s">
        <v>52</v>
      </c>
      <c r="H8" s="80"/>
      <c r="I8" s="80"/>
      <c r="J8" s="80"/>
      <c r="K8" s="15"/>
      <c r="L8" s="9"/>
      <c r="M8" s="10" t="s">
        <v>66</v>
      </c>
      <c r="N8" s="74">
        <v>2500</v>
      </c>
      <c r="O8" s="5"/>
      <c r="P8" s="5"/>
      <c r="Q8" s="5"/>
      <c r="R8" s="5"/>
      <c r="S8" s="5"/>
      <c r="T8" s="5"/>
      <c r="U8" s="5"/>
      <c r="V8" s="5" t="s">
        <v>86</v>
      </c>
      <c r="W8" s="11">
        <f>MAX(0,0.622*($N$6/100*0.61078*EXP(17.27*$N$5/($N$5+237.3)))/(101.325-$N$6/100*0.61078*EXP(17.27*$N$5/($N$5+237.3)))-0.622*0.61078*EXP(17.27*(($N$3+$N$4)/2+4.6)/((($N$3+$N$4)/2+4.6)+237.3))/(101.325-0.61078*EXP(17.27*(($N$3+$N$4)/2+4.6)/((($N$3+$N$4)/2+4.6)+237.3))))</f>
      </c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6"/>
      <c r="AT8" s="6"/>
    </row>
    <row r="9" spans="2:46" s="1" customFormat="1" ht="17.399999999999999" customHeight="1" thickBot="1" x14ac:dyDescent="0.3">
      <c r="D9" s="8"/>
      <c r="E9" s="13"/>
      <c r="F9" s="2"/>
      <c r="G9" s="2"/>
      <c r="H9" s="2"/>
      <c r="I9" s="2"/>
      <c r="J9" s="15"/>
      <c r="K9" s="15"/>
      <c r="L9" s="9"/>
      <c r="M9" s="10" t="s">
        <v>51</v>
      </c>
      <c r="N9" s="75">
        <v>0.2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6"/>
      <c r="AR9" s="6"/>
      <c r="AS9" s="6"/>
      <c r="AT9" s="6"/>
    </row>
    <row r="10" spans="2:46" s="1" customFormat="1" ht="17.399999999999999" customHeight="1" thickBot="1" x14ac:dyDescent="0.3">
      <c r="D10" s="8"/>
      <c r="E10" s="2"/>
      <c r="F10" s="2"/>
      <c r="G10" s="99" t="s">
        <v>60</v>
      </c>
      <c r="H10" s="99"/>
      <c r="I10" s="99" t="s">
        <v>62</v>
      </c>
      <c r="J10" s="99"/>
      <c r="K10" s="2"/>
      <c r="L10" s="2"/>
      <c r="M10" s="10" t="s">
        <v>50</v>
      </c>
      <c r="N10" s="75">
        <v>0.02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6"/>
      <c r="AR10" s="6"/>
      <c r="AS10" s="6"/>
      <c r="AT10" s="6"/>
    </row>
    <row r="11" spans="2:46" s="1" customFormat="1" x14ac:dyDescent="0.25">
      <c r="D11" s="8"/>
      <c r="E11" s="13"/>
      <c r="F11" s="13"/>
      <c r="G11" s="13"/>
      <c r="H11" s="13"/>
      <c r="I11" s="13"/>
      <c r="J11" s="13"/>
      <c r="K11" s="13"/>
      <c r="L11" s="13"/>
      <c r="M11" s="4"/>
      <c r="N11" s="4"/>
      <c r="AQ11" s="3"/>
    </row>
    <row r="12" spans="2:46" s="12" customFormat="1" ht="18" thickBot="1" x14ac:dyDescent="0.3">
      <c r="B12" s="94" t="s">
        <v>48</v>
      </c>
      <c r="C12" s="94"/>
      <c r="D12" s="94"/>
      <c r="E12" s="17" t="str">
        <f t="shared" ref="E12:N12" si="0">"CF2"&amp;"-"&amp;E13/10&amp;"-AC"</f>
      </c>
      <c r="F12" s="17" t="str">
        <f t="shared" si="0"/>
        <v>CF2-51-AC</v>
      </c>
      <c r="G12" s="17" t="str">
        <f t="shared" si="0"/>
        <v>CF2-68-AC</v>
      </c>
      <c r="H12" s="17" t="str">
        <f t="shared" si="0"/>
        <v>CF2-85-AC</v>
      </c>
      <c r="I12" s="17" t="str">
        <f t="shared" si="0"/>
        <v>CF2-102-AC</v>
      </c>
      <c r="J12" s="17" t="str">
        <f t="shared" si="0"/>
        <v>CF2-136-AC</v>
      </c>
      <c r="K12" s="17" t="str">
        <f t="shared" si="0"/>
        <v>CF2-170-AC</v>
      </c>
      <c r="L12" s="17" t="str">
        <f t="shared" si="0"/>
        <v>CF2-204-AC</v>
      </c>
      <c r="M12" s="17" t="str">
        <f t="shared" si="0"/>
        <v>CF2-238-AC</v>
      </c>
      <c r="N12" s="17" t="str">
        <f t="shared" si="0"/>
        <v>CF2-289-AC</v>
      </c>
    </row>
    <row r="13" spans="2:46" ht="17.399999999999999" customHeight="1" x14ac:dyDescent="0.25">
      <c r="B13" s="91" t="s">
        <v>67</v>
      </c>
      <c r="C13" s="81" t="s">
        <v>46</v>
      </c>
      <c r="D13" s="18" t="s">
        <v>41</v>
      </c>
      <c r="E13" s="19">
        <v>340</v>
      </c>
      <c r="F13" s="20">
        <v>510</v>
      </c>
      <c r="G13" s="19">
        <v>680</v>
      </c>
      <c r="H13" s="20">
        <v>850</v>
      </c>
      <c r="I13" s="19">
        <v>1020</v>
      </c>
      <c r="J13" s="20">
        <v>1360</v>
      </c>
      <c r="K13" s="19">
        <v>1700</v>
      </c>
      <c r="L13" s="20">
        <v>2040</v>
      </c>
      <c r="M13" s="19">
        <v>2380</v>
      </c>
      <c r="N13" s="21">
        <v>2890</v>
      </c>
    </row>
    <row r="14" spans="2:46" x14ac:dyDescent="0.25">
      <c r="B14" s="92"/>
      <c r="C14" s="82"/>
      <c r="D14" s="22" t="s">
        <v>40</v>
      </c>
      <c r="E14" s="23">
        <v>255</v>
      </c>
      <c r="F14" s="24">
        <v>383</v>
      </c>
      <c r="G14" s="23">
        <v>510</v>
      </c>
      <c r="H14" s="24">
        <v>638</v>
      </c>
      <c r="I14" s="23">
        <v>765</v>
      </c>
      <c r="J14" s="24">
        <v>1020</v>
      </c>
      <c r="K14" s="23">
        <v>1275</v>
      </c>
      <c r="L14" s="24">
        <v>1530</v>
      </c>
      <c r="M14" s="23">
        <v>1785</v>
      </c>
      <c r="N14" s="25">
        <v>2100</v>
      </c>
    </row>
    <row r="15" spans="2:46" ht="18" thickBot="1" x14ac:dyDescent="0.3">
      <c r="B15" s="93"/>
      <c r="C15" s="83"/>
      <c r="D15" s="26" t="s">
        <v>39</v>
      </c>
      <c r="E15" s="27">
        <v>170</v>
      </c>
      <c r="F15" s="28">
        <v>255</v>
      </c>
      <c r="G15" s="27">
        <v>340</v>
      </c>
      <c r="H15" s="28">
        <v>425</v>
      </c>
      <c r="I15" s="27">
        <v>510</v>
      </c>
      <c r="J15" s="28">
        <v>680</v>
      </c>
      <c r="K15" s="27">
        <v>850</v>
      </c>
      <c r="L15" s="28">
        <v>1020</v>
      </c>
      <c r="M15" s="27">
        <v>1190</v>
      </c>
      <c r="N15" s="29">
        <v>1600</v>
      </c>
    </row>
    <row r="16" spans="2:46" ht="17.399999999999999" customHeight="1" x14ac:dyDescent="0.25">
      <c r="B16" s="91" t="s">
        <v>81</v>
      </c>
      <c r="C16" s="81" t="s">
        <v>44</v>
      </c>
      <c r="D16" s="18" t="s">
        <v>41</v>
      </c>
      <c r="E16" s="30">
        <f>IF($W$3&lt;0,IF(OR($N$3&lt;3,$N$3&gt;14),"Vandens t. 3-14°C",93.1*$W$4-268.6+241321*$W$7),"")</f>
      </c>
      <c r="F16" s="31">
        <f>IF($W$3&lt;0,IF(OR($N$3&lt;3,$N$3&gt;14),"Vandens t. 3-14°C",142.9*$W$4-401+329075*$W$7),"")</f>
      </c>
      <c r="G16" s="30">
        <f>IF($W$3&lt;0,IF(OR($N$3&lt;3,$N$3&gt;14),"Vandens t. 3-14°C",187.1*$W$4-484.3+444251*$W$7),"")</f>
      </c>
      <c r="H16" s="31">
        <f>IF($W$3&lt;0,IF(OR($N$3&lt;3,$N$3&gt;14),"Vandens t. 3-14°C",222.7*$W$4-527.3+619757*$W$7),"")</f>
      </c>
      <c r="I16" s="30">
        <f>IF($W$3&lt;0,IF(OR($N$3&lt;3,$N$3&gt;14),"Vandens t. 3-14°C",273.6*$W$4-697.3+718479*$W$7),"")</f>
      </c>
      <c r="J16" s="31">
        <f>IF($W$3&lt;0,IF(OR($N$3&lt;3,$N$3&gt;14),"Vandens t. 3-14°C",381.7*$W$4-980.1+822686*$W$7),"")</f>
      </c>
      <c r="K16" s="30">
        <f>IF($W$3&lt;0,IF(OR($N$3&lt;3,$N$3&gt;14),"Vandens t. 3-14°C",448.4*$W$4-1067.7+1217576*$W$7),"")</f>
      </c>
      <c r="L16" s="31">
        <f>IF($W$3&lt;0,IF(OR($N$3&lt;3,$N$3&gt;14),"Vandens t. 3-14°C",539.8*$W$4-1206.8+1404051*$W$7),"")</f>
      </c>
      <c r="M16" s="30">
        <f>IF($W$3&lt;0,IF(OR($N$3&lt;3,$N$3&gt;14),"Vandens t. 3-14°C",624.3*$W$4-1606+1798941*$W$7),"")</f>
      </c>
      <c r="N16" s="32">
        <f>IF($W$3&lt;0,IF(OR($N$3&lt;3,$N$3&gt;14),"Vandens t. 3-14°C",749.5*$W$4-1796.8+2182861*$W$7),"")</f>
      </c>
    </row>
    <row r="17" spans="2:43" x14ac:dyDescent="0.25">
      <c r="B17" s="92"/>
      <c r="C17" s="82"/>
      <c r="D17" s="22" t="s">
        <v>40</v>
      </c>
      <c r="E17" s="33">
        <f>IFERROR(ROUND(E16*0.8,0),"")</f>
      </c>
      <c r="F17" s="34">
        <f>IFERROR(ROUND(F16*0.8,0),"")</f>
      </c>
      <c r="G17" s="33">
        <f>IFERROR(ROUND(G16*0.8,0),"")</f>
      </c>
      <c r="H17" s="34">
        <f>IFERROR(ROUND(H16*0.8,0),"")</f>
      </c>
      <c r="I17" s="33">
        <f>IFERROR(ROUND(I16*0.8,0),"")</f>
      </c>
      <c r="J17" s="34">
        <f>IFERROR(ROUND(J16*0.8,0),"")</f>
      </c>
      <c r="K17" s="33">
        <f>IFERROR(ROUND(K16*0.8,0),"")</f>
      </c>
      <c r="L17" s="34">
        <f>IFERROR(ROUND(L16*0.8,0),"")</f>
      </c>
      <c r="M17" s="33">
        <f>IFERROR(ROUND(M16*0.8,0),"")</f>
      </c>
      <c r="N17" s="35">
        <f>IFERROR(ROUND(N16*0.765,0),"")</f>
      </c>
    </row>
    <row r="18" spans="2:43" ht="18" thickBot="1" x14ac:dyDescent="0.3">
      <c r="B18" s="93"/>
      <c r="C18" s="83"/>
      <c r="D18" s="26" t="s">
        <v>39</v>
      </c>
      <c r="E18" s="36">
        <f>IFERROR(ROUND(E16*0.6,0),"")</f>
      </c>
      <c r="F18" s="37">
        <f>IFERROR(ROUND(F16*0.6,0),"")</f>
      </c>
      <c r="G18" s="36">
        <f>IFERROR(ROUND(G16*0.6,0),"")</f>
      </c>
      <c r="H18" s="37">
        <f>IFERROR(ROUND(H16*0.6,0),"")</f>
      </c>
      <c r="I18" s="36">
        <f>IFERROR(ROUND(I16*0.6,0),"")</f>
      </c>
      <c r="J18" s="37">
        <f>IFERROR(ROUND(J16*0.6,0),"")</f>
      </c>
      <c r="K18" s="36">
        <f>IFERROR(ROUND(K16*0.6,0),"")</f>
      </c>
      <c r="L18" s="37">
        <f>IFERROR(ROUND(L16*0.6,0),"")</f>
      </c>
      <c r="M18" s="36">
        <f>IFERROR(ROUND(M16*0.6,0),"")</f>
      </c>
      <c r="N18" s="38">
        <f>IFERROR(ROUND(N16*0.608,0),"")</f>
      </c>
    </row>
    <row r="19" spans="2:43" x14ac:dyDescent="0.25">
      <c r="B19" s="91" t="s">
        <v>82</v>
      </c>
      <c r="C19" s="81" t="s">
        <v>44</v>
      </c>
      <c r="D19" s="18" t="s">
        <v>41</v>
      </c>
      <c r="E19" s="30">
        <f>IF($W$3&lt;0,IF(OR($N$3&lt;3,$N$3&gt;14),"Vandens t. 3-14°C",93.1*$W$4-268.6),"")</f>
      </c>
      <c r="F19" s="31">
        <f>IF($W$3&lt;0,IF(OR($N$3&lt;3,$N$3&gt;14),"Vandens t. 3-14°C",142.9*$W$4-401),"")</f>
      </c>
      <c r="G19" s="30">
        <f>IF($W$3&lt;0,IF(OR($N$3&lt;3,$N$3&gt;14),"Vandens t. 3-14°C",187.1*$W$4-484.3),"")</f>
      </c>
      <c r="H19" s="31">
        <f>IF($W$3&lt;0,IF(OR($N$3&lt;3,$N$3&gt;14),"Vandens t. 3-14°C",222.7*$W$4-527.3),"")</f>
      </c>
      <c r="I19" s="30">
        <f>IF($W$3&lt;0,IF(OR($N$3&lt;3,$N$3&gt;14),"Vandens t. 3-14°C",273.6*$W$4-697.3),"")</f>
      </c>
      <c r="J19" s="31">
        <f>IF($W$3&lt;0,IF(OR($N$3&lt;3,$N$3&gt;14),"Vandens t. 3-14°C",381.7*$W$4-980.1),"")</f>
      </c>
      <c r="K19" s="30">
        <f>IF($W$3&lt;0,IF(OR($N$3&lt;3,$N$3&gt;14),"Vandens t. 3-14°C",448.4*$W$4-1067.7),"")</f>
      </c>
      <c r="L19" s="31">
        <f>IF($W$3&lt;0,IF(OR($N$3&lt;3,$N$3&gt;14),"Vandens t. 3-14°C",539.8*$W$4-1206.8),"")</f>
      </c>
      <c r="M19" s="30">
        <f>IF($W$3&lt;0,IF(OR($N$3&lt;3,$N$3&gt;14),"Vandens t. 3-14°C",624.3*$W$4-1606),"")</f>
      </c>
      <c r="N19" s="32">
        <f>IF($W$3&lt;0,IF(OR($N$3&lt;3,$N$3&gt;14),"Vandens t. 3-14°C",749.5*$W$4-1796.8),"")</f>
      </c>
    </row>
    <row r="20" spans="2:43" x14ac:dyDescent="0.25">
      <c r="B20" s="92"/>
      <c r="C20" s="82"/>
      <c r="D20" s="22" t="s">
        <v>40</v>
      </c>
      <c r="E20" s="33">
        <f>IFERROR(ROUND(E19*0.8,0),"")</f>
      </c>
      <c r="F20" s="34">
        <f>IFERROR(ROUND(F19*0.8,0),"")</f>
      </c>
      <c r="G20" s="33">
        <f>IFERROR(ROUND(G19*0.8,0),"")</f>
      </c>
      <c r="H20" s="34">
        <f>IFERROR(ROUND(H19*0.8,0),"")</f>
      </c>
      <c r="I20" s="33">
        <f>IFERROR(ROUND(I19*0.8,0),"")</f>
      </c>
      <c r="J20" s="34">
        <f>IFERROR(ROUND(J19*0.8,0),"")</f>
      </c>
      <c r="K20" s="33">
        <f>IFERROR(ROUND(K19*0.8,0),"")</f>
      </c>
      <c r="L20" s="34">
        <f>IFERROR(ROUND(L19*0.8,0),"")</f>
      </c>
      <c r="M20" s="33">
        <f>IFERROR(ROUND(M19*0.8,0),"")</f>
      </c>
      <c r="N20" s="35">
        <f>IFERROR(ROUND(N19*0.765,0),"")</f>
      </c>
    </row>
    <row r="21" spans="2:43" ht="18" thickBot="1" x14ac:dyDescent="0.3">
      <c r="B21" s="93"/>
      <c r="C21" s="83"/>
      <c r="D21" s="26" t="s">
        <v>39</v>
      </c>
      <c r="E21" s="36">
        <f>IFERROR(ROUND(E19*0.6,0),"")</f>
      </c>
      <c r="F21" s="37">
        <f>IFERROR(ROUND(F19*0.6,0),"")</f>
      </c>
      <c r="G21" s="36">
        <f>IFERROR(ROUND(G19*0.6,0),"")</f>
      </c>
      <c r="H21" s="37">
        <f>IFERROR(ROUND(H19*0.6,0),"")</f>
      </c>
      <c r="I21" s="36">
        <f>IFERROR(ROUND(I19*0.6,0),"")</f>
      </c>
      <c r="J21" s="37">
        <f>IFERROR(ROUND(J19*0.6,0),"")</f>
      </c>
      <c r="K21" s="36">
        <f>IFERROR(ROUND(K19*0.6,0),"")</f>
      </c>
      <c r="L21" s="37">
        <f>IFERROR(ROUND(L19*0.6,0),"")</f>
      </c>
      <c r="M21" s="36">
        <f>IFERROR(ROUND(M19*0.6,0),"")</f>
      </c>
      <c r="N21" s="38">
        <f>IFERROR(ROUND(N19*0.608,0),"")</f>
      </c>
    </row>
    <row r="22" spans="2:43" x14ac:dyDescent="0.25">
      <c r="B22" s="91" t="s">
        <v>83</v>
      </c>
      <c r="C22" s="81" t="s">
        <v>44</v>
      </c>
      <c r="D22" s="18" t="s">
        <v>41</v>
      </c>
      <c r="E22" s="30">
        <f>IF($W$3&gt;0,IF(OR($N$3&lt;30,$N$3&gt;70),"Vandens t. 30-70°C",85.5*$W$4-324.3),"")</f>
      </c>
      <c r="F22" s="31">
        <f>IF($W$3&gt;0,IF(OR($N$3&lt;30,$N$3&gt;70),"Vandens t. 30-70°C",125.9*$W$4-420.2),"")</f>
      </c>
      <c r="G22" s="30">
        <f>IF($W$3&gt;0,IF(OR($N$3&lt;30,$N$3&gt;70),"Vandens t. 30-70°C",168.3*$W$4-523.2),"")</f>
      </c>
      <c r="H22" s="31">
        <f>IF($W$3&gt;0,IF(OR($N$3&lt;30,$N$3&gt;70),"Vandens t. 30-70°C",208.9*$W$4-618.9),"")</f>
      </c>
      <c r="I22" s="30">
        <f>IF($W$3&gt;0,IF(OR($N$3&lt;30,$N$3&gt;70),"Vandens t. 30-70°C",252.4*$W$4-808.5),"")</f>
      </c>
      <c r="J22" s="31">
        <f>IF($W$3&gt;0,IF(OR($N$3&lt;30,$N$3&gt;70),"Vandens t. 30-70°C",338.2*$W$4-1082.1),"")</f>
      </c>
      <c r="K22" s="30">
        <f>IF($W$3&gt;0,IF(OR($N$3&lt;30,$N$3&gt;70),"Vandens t. 30-70°C",415.8*$W$4-1255.2),"")</f>
      </c>
      <c r="L22" s="31">
        <f>IF($W$3&gt;0,IF(OR($N$3&lt;30,$N$3&gt;70),"Vandens t. 30-70°C",498.4*$W$4-1361.2),"")</f>
      </c>
      <c r="M22" s="30">
        <f>IF($W$3&gt;0,IF(OR($N$3&lt;30,$N$3&gt;70),"Vandens t. 30-70°C",585.9*$W$4-1734.6),"")</f>
      </c>
      <c r="N22" s="32">
        <f>IF($W$3&gt;0,IF(OR($N$3&lt;30,$N$3&gt;70),"Vandens t. 30-70°C",734.3*$W$4-2104.9),"")</f>
      </c>
    </row>
    <row r="23" spans="2:43" x14ac:dyDescent="0.25">
      <c r="B23" s="92"/>
      <c r="C23" s="82"/>
      <c r="D23" s="22" t="s">
        <v>40</v>
      </c>
      <c r="E23" s="33">
        <f>IFERROR(ROUND(E22*0.8,0),"")</f>
      </c>
      <c r="F23" s="34">
        <f>IFERROR(ROUND(F22*0.8,0),"")</f>
      </c>
      <c r="G23" s="33">
        <f>IFERROR(ROUND(G22*0.8,0),"")</f>
      </c>
      <c r="H23" s="34">
        <f>IFERROR(ROUND(H22*0.8,0),"")</f>
      </c>
      <c r="I23" s="33">
        <f>IFERROR(ROUND(I22*0.8,0),"")</f>
      </c>
      <c r="J23" s="34">
        <f>IFERROR(ROUND(J22*0.8,0),"")</f>
      </c>
      <c r="K23" s="33">
        <f>IFERROR(ROUND(K22*0.8,0),"")</f>
      </c>
      <c r="L23" s="34">
        <f>IFERROR(ROUND(L22*0.8,0),"")</f>
      </c>
      <c r="M23" s="33">
        <f>IFERROR(ROUND(M22*0.8,0),"")</f>
      </c>
      <c r="N23" s="35">
        <f>IFERROR(ROUND(N22*0.738,0),"")</f>
      </c>
    </row>
    <row r="24" spans="2:43" ht="18" thickBot="1" x14ac:dyDescent="0.3">
      <c r="B24" s="93"/>
      <c r="C24" s="83"/>
      <c r="D24" s="26" t="s">
        <v>39</v>
      </c>
      <c r="E24" s="36">
        <f>IFERROR(ROUND(E22*0.6,0),"")</f>
      </c>
      <c r="F24" s="37">
        <f>IFERROR(ROUND(F22*0.6,0),"")</f>
      </c>
      <c r="G24" s="36">
        <f>IFERROR(ROUND(G22*0.6,0),"")</f>
      </c>
      <c r="H24" s="37">
        <f>IFERROR(ROUND(H22*0.6,0),"")</f>
      </c>
      <c r="I24" s="36">
        <f>IFERROR(ROUND(I22*0.6,0),"")</f>
      </c>
      <c r="J24" s="37">
        <f>IFERROR(ROUND(J22*0.6,0),"")</f>
      </c>
      <c r="K24" s="36">
        <f>IFERROR(ROUND(K22*0.6,0),"")</f>
      </c>
      <c r="L24" s="37">
        <f>IFERROR(ROUND(L22*0.6,0),"")</f>
      </c>
      <c r="M24" s="36">
        <f>IFERROR(ROUND(M22*0.6,0),"")</f>
      </c>
      <c r="N24" s="38">
        <f>IFERROR(ROUND(N22*0.582,0),"")</f>
      </c>
    </row>
    <row r="25" spans="2:43" s="40" customFormat="1" x14ac:dyDescent="0.25">
      <c r="B25" s="84" t="s">
        <v>68</v>
      </c>
      <c r="C25" s="85"/>
      <c r="D25" s="86"/>
      <c r="E25" s="87" t="s">
        <v>45</v>
      </c>
      <c r="F25" s="87"/>
      <c r="G25" s="87"/>
      <c r="H25" s="87"/>
      <c r="I25" s="87"/>
      <c r="J25" s="87"/>
      <c r="K25" s="87"/>
      <c r="L25" s="87"/>
      <c r="M25" s="87"/>
      <c r="N25" s="87"/>
      <c r="AQ25" s="41"/>
    </row>
    <row r="26" spans="2:43" s="40" customFormat="1" x14ac:dyDescent="0.25">
      <c r="B26" s="42" t="s">
        <v>69</v>
      </c>
      <c r="C26" s="22" t="s">
        <v>44</v>
      </c>
      <c r="D26" s="22"/>
      <c r="E26" s="23">
        <v>36</v>
      </c>
      <c r="F26" s="24">
        <v>50</v>
      </c>
      <c r="G26" s="23">
        <v>60</v>
      </c>
      <c r="H26" s="24">
        <v>74</v>
      </c>
      <c r="I26" s="23">
        <v>93</v>
      </c>
      <c r="J26" s="24">
        <v>130</v>
      </c>
      <c r="K26" s="23">
        <v>147</v>
      </c>
      <c r="L26" s="24">
        <v>183</v>
      </c>
      <c r="M26" s="23">
        <v>221</v>
      </c>
      <c r="N26" s="24">
        <v>330</v>
      </c>
      <c r="AQ26" s="41"/>
    </row>
    <row r="27" spans="2:43" s="40" customFormat="1" x14ac:dyDescent="0.25">
      <c r="B27" s="42" t="s">
        <v>70</v>
      </c>
      <c r="C27" s="22" t="s">
        <v>43</v>
      </c>
      <c r="D27" s="16"/>
      <c r="E27" s="43">
        <f t="shared" ref="E27:N27" si="1">E26/230</f>
      </c>
      <c r="F27" s="44">
        <f t="shared" si="1"/>
        <v>0.21739130434782608</v>
      </c>
      <c r="G27" s="43">
        <f t="shared" si="1"/>
        <v>0.2608695652173913</v>
      </c>
      <c r="H27" s="44">
        <f t="shared" si="1"/>
        <v>0.32173913043478258</v>
      </c>
      <c r="I27" s="43">
        <f t="shared" si="1"/>
        <v>0.40434782608695652</v>
      </c>
      <c r="J27" s="44">
        <f t="shared" si="1"/>
        <v>0.56521739130434778</v>
      </c>
      <c r="K27" s="43">
        <f t="shared" si="1"/>
        <v>0.63913043478260867</v>
      </c>
      <c r="L27" s="44">
        <f t="shared" si="1"/>
        <v>0.79565217391304344</v>
      </c>
      <c r="M27" s="43">
        <f t="shared" si="1"/>
        <v>0.96086956521739131</v>
      </c>
      <c r="N27" s="44">
        <f t="shared" si="1"/>
        <v>1.4347826086956521</v>
      </c>
      <c r="AQ27" s="41"/>
    </row>
    <row r="28" spans="2:43" x14ac:dyDescent="0.25">
      <c r="B28" s="88" t="s">
        <v>71</v>
      </c>
      <c r="C28" s="94" t="s">
        <v>42</v>
      </c>
      <c r="D28" s="22" t="s">
        <v>41</v>
      </c>
      <c r="E28" s="45">
        <v>37</v>
      </c>
      <c r="F28" s="46">
        <v>39</v>
      </c>
      <c r="G28" s="45">
        <v>41</v>
      </c>
      <c r="H28" s="46">
        <v>43</v>
      </c>
      <c r="I28" s="45">
        <v>45</v>
      </c>
      <c r="J28" s="46">
        <v>46</v>
      </c>
      <c r="K28" s="45">
        <v>48</v>
      </c>
      <c r="L28" s="46">
        <v>50</v>
      </c>
      <c r="M28" s="45">
        <v>52</v>
      </c>
      <c r="N28" s="46">
        <v>57</v>
      </c>
    </row>
    <row r="29" spans="2:43" x14ac:dyDescent="0.25">
      <c r="B29" s="89"/>
      <c r="C29" s="82"/>
      <c r="D29" s="22" t="s">
        <v>40</v>
      </c>
      <c r="E29" s="45">
        <v>30</v>
      </c>
      <c r="F29" s="46">
        <v>33</v>
      </c>
      <c r="G29" s="45">
        <v>36</v>
      </c>
      <c r="H29" s="46">
        <v>34</v>
      </c>
      <c r="I29" s="45">
        <v>36</v>
      </c>
      <c r="J29" s="46">
        <v>41</v>
      </c>
      <c r="K29" s="45">
        <v>41</v>
      </c>
      <c r="L29" s="46">
        <v>43</v>
      </c>
      <c r="M29" s="45">
        <v>47</v>
      </c>
      <c r="N29" s="46">
        <v>53</v>
      </c>
    </row>
    <row r="30" spans="2:43" x14ac:dyDescent="0.25">
      <c r="B30" s="90"/>
      <c r="C30" s="95"/>
      <c r="D30" s="22" t="s">
        <v>39</v>
      </c>
      <c r="E30" s="45">
        <v>26</v>
      </c>
      <c r="F30" s="46">
        <v>29</v>
      </c>
      <c r="G30" s="45">
        <v>32</v>
      </c>
      <c r="H30" s="46">
        <v>30</v>
      </c>
      <c r="I30" s="45">
        <v>32</v>
      </c>
      <c r="J30" s="46">
        <v>34</v>
      </c>
      <c r="K30" s="45">
        <v>35</v>
      </c>
      <c r="L30" s="46">
        <v>37</v>
      </c>
      <c r="M30" s="45">
        <v>43</v>
      </c>
      <c r="N30" s="46">
        <v>48</v>
      </c>
    </row>
    <row r="31" spans="2:43" x14ac:dyDescent="0.25">
      <c r="B31" s="48" t="s">
        <v>72</v>
      </c>
      <c r="C31" s="22" t="s">
        <v>38</v>
      </c>
      <c r="D31" s="47"/>
      <c r="E31" s="23">
        <f t="shared" ref="E31:N31" si="2">IFERROR(IF($W$3&gt;0,E22/(1.163*($N$3-$N$4)),E16/(1.163*($N$4-$N$3))),"")</f>
      </c>
      <c r="F31" s="24">
        <f t="shared" si="2"/>
        <v>416.58291260346363</v>
      </c>
      <c r="G31" s="23">
        <f t="shared" si="2"/>
        <v>549.84470434779473</v>
      </c>
      <c r="H31" s="24">
        <f t="shared" si="2"/>
        <v>691.69813638299206</v>
      </c>
      <c r="I31" s="23">
        <f t="shared" si="2"/>
        <v>836.77187247677421</v>
      </c>
      <c r="J31" s="24">
        <f t="shared" si="2"/>
        <v>1108.5668214757363</v>
      </c>
      <c r="K31" s="23">
        <f t="shared" si="2"/>
        <v>1386.099096900416</v>
      </c>
      <c r="L31" s="24">
        <f t="shared" si="2"/>
        <v>1650.706998640688</v>
      </c>
      <c r="M31" s="23">
        <f t="shared" si="2"/>
        <v>1917.3264040213564</v>
      </c>
      <c r="N31" s="24">
        <f t="shared" si="2"/>
        <v>2315.5116457061508</v>
      </c>
    </row>
    <row r="32" spans="2:43" ht="16.8" customHeight="1" x14ac:dyDescent="0.25">
      <c r="B32" s="88" t="s">
        <v>73</v>
      </c>
      <c r="C32" s="94" t="s">
        <v>36</v>
      </c>
      <c r="D32" s="66" t="s">
        <v>58</v>
      </c>
      <c r="E32" s="23">
        <v>30</v>
      </c>
      <c r="F32" s="24">
        <v>30</v>
      </c>
      <c r="G32" s="23">
        <v>30</v>
      </c>
      <c r="H32" s="24">
        <v>30</v>
      </c>
      <c r="I32" s="23">
        <v>40</v>
      </c>
      <c r="J32" s="24">
        <v>40</v>
      </c>
      <c r="K32" s="23">
        <v>40</v>
      </c>
      <c r="L32" s="24">
        <v>40</v>
      </c>
      <c r="M32" s="23">
        <v>50</v>
      </c>
      <c r="N32" s="24">
        <v>50</v>
      </c>
    </row>
    <row r="33" spans="2:43" ht="17.399999999999999" customHeight="1" x14ac:dyDescent="0.25">
      <c r="B33" s="90"/>
      <c r="C33" s="95"/>
      <c r="D33" s="66" t="s">
        <v>59</v>
      </c>
      <c r="E33" s="23">
        <v>33.41</v>
      </c>
      <c r="F33" s="24">
        <v>30.56</v>
      </c>
      <c r="G33" s="23">
        <v>36.34</v>
      </c>
      <c r="H33" s="24">
        <v>34.64</v>
      </c>
      <c r="I33" s="23">
        <v>45.98</v>
      </c>
      <c r="J33" s="24">
        <v>50.17</v>
      </c>
      <c r="K33" s="23">
        <v>41.3</v>
      </c>
      <c r="L33" s="24">
        <v>47.1</v>
      </c>
      <c r="M33" s="23">
        <v>59.57</v>
      </c>
      <c r="N33" s="24">
        <v>62.03</v>
      </c>
    </row>
    <row r="34" spans="2:43" s="40" customFormat="1" x14ac:dyDescent="0.25">
      <c r="B34" s="49" t="s">
        <v>74</v>
      </c>
      <c r="C34" s="22" t="s">
        <v>34</v>
      </c>
      <c r="D34" s="50"/>
      <c r="E34" s="78">
        <v>1.6</v>
      </c>
      <c r="F34" s="78"/>
      <c r="G34" s="78"/>
      <c r="H34" s="78"/>
      <c r="I34" s="78"/>
      <c r="J34" s="78"/>
      <c r="K34" s="78"/>
      <c r="L34" s="78"/>
      <c r="M34" s="78"/>
      <c r="N34" s="78"/>
      <c r="AQ34" s="41"/>
    </row>
    <row r="35" spans="2:43" s="40" customFormat="1" x14ac:dyDescent="0.25">
      <c r="B35" s="96" t="s">
        <v>33</v>
      </c>
      <c r="C35" s="97"/>
      <c r="D35" s="98"/>
      <c r="E35" s="78" t="s">
        <v>32</v>
      </c>
      <c r="F35" s="78"/>
      <c r="G35" s="78"/>
      <c r="H35" s="78"/>
      <c r="I35" s="78"/>
      <c r="J35" s="78"/>
      <c r="K35" s="78"/>
      <c r="L35" s="78"/>
      <c r="M35" s="78"/>
      <c r="N35" s="78"/>
      <c r="AQ35" s="41"/>
    </row>
    <row r="36" spans="2:43" s="40" customFormat="1" x14ac:dyDescent="0.25">
      <c r="B36" s="76" t="s">
        <v>31</v>
      </c>
      <c r="C36" s="76"/>
      <c r="D36" s="76"/>
      <c r="E36" s="77" t="s">
        <v>30</v>
      </c>
      <c r="F36" s="78"/>
      <c r="G36" s="78"/>
      <c r="H36" s="78"/>
      <c r="I36" s="78"/>
      <c r="J36" s="78"/>
      <c r="K36" s="78"/>
      <c r="L36" s="78"/>
      <c r="M36" s="78"/>
      <c r="N36" s="78"/>
      <c r="AQ36" s="41"/>
    </row>
    <row r="37" spans="2:43" s="40" customFormat="1" x14ac:dyDescent="0.25">
      <c r="B37" s="76" t="s">
        <v>29</v>
      </c>
      <c r="C37" s="76"/>
      <c r="D37" s="76"/>
      <c r="E37" s="78" t="s">
        <v>28</v>
      </c>
      <c r="F37" s="78"/>
      <c r="G37" s="78"/>
      <c r="H37" s="78"/>
      <c r="I37" s="78"/>
      <c r="J37" s="78"/>
      <c r="K37" s="78"/>
      <c r="L37" s="78"/>
      <c r="M37" s="78"/>
      <c r="N37" s="78"/>
      <c r="AQ37" s="41"/>
    </row>
    <row r="38" spans="2:43" s="40" customFormat="1" x14ac:dyDescent="0.25">
      <c r="B38" s="76" t="s">
        <v>27</v>
      </c>
      <c r="C38" s="76"/>
      <c r="D38" s="76"/>
      <c r="E38" s="101" t="s">
        <v>49</v>
      </c>
      <c r="F38" s="101"/>
      <c r="G38" s="101"/>
      <c r="H38" s="101"/>
      <c r="I38" s="101"/>
      <c r="J38" s="101"/>
      <c r="K38" s="101"/>
      <c r="L38" s="101"/>
      <c r="M38" s="101"/>
      <c r="N38" s="101"/>
      <c r="AQ38" s="41"/>
    </row>
    <row r="39" spans="2:43" s="40" customFormat="1" x14ac:dyDescent="0.25">
      <c r="B39" s="76" t="s">
        <v>25</v>
      </c>
      <c r="C39" s="76"/>
      <c r="D39" s="76"/>
      <c r="E39" s="78" t="s">
        <v>24</v>
      </c>
      <c r="F39" s="78"/>
      <c r="G39" s="78"/>
      <c r="H39" s="78"/>
      <c r="I39" s="78"/>
      <c r="J39" s="78"/>
      <c r="K39" s="78"/>
      <c r="L39" s="78"/>
      <c r="M39" s="78"/>
      <c r="N39" s="78"/>
      <c r="AQ39" s="41"/>
    </row>
    <row r="40" spans="2:43" s="40" customFormat="1" x14ac:dyDescent="0.25">
      <c r="B40" s="76" t="s">
        <v>75</v>
      </c>
      <c r="C40" s="76"/>
      <c r="D40" s="76"/>
      <c r="E40" s="78" t="s">
        <v>23</v>
      </c>
      <c r="F40" s="78"/>
      <c r="G40" s="78"/>
      <c r="H40" s="78"/>
      <c r="I40" s="78"/>
      <c r="J40" s="78"/>
      <c r="K40" s="78"/>
      <c r="L40" s="78"/>
      <c r="M40" s="78"/>
      <c r="N40" s="78"/>
      <c r="AQ40" s="41"/>
    </row>
    <row r="41" spans="2:43" s="40" customFormat="1" x14ac:dyDescent="0.25">
      <c r="B41" s="42" t="s">
        <v>76</v>
      </c>
      <c r="C41" s="50" t="s">
        <v>7</v>
      </c>
      <c r="D41" s="42"/>
      <c r="E41" s="78" t="s">
        <v>22</v>
      </c>
      <c r="F41" s="78"/>
      <c r="G41" s="78"/>
      <c r="H41" s="78"/>
      <c r="I41" s="78"/>
      <c r="J41" s="78"/>
      <c r="K41" s="78"/>
      <c r="L41" s="78"/>
      <c r="M41" s="78"/>
      <c r="N41" s="78"/>
      <c r="AQ41" s="41"/>
    </row>
    <row r="42" spans="2:43" s="40" customFormat="1" x14ac:dyDescent="0.25">
      <c r="B42" s="100" t="s">
        <v>21</v>
      </c>
      <c r="C42" s="100"/>
      <c r="D42" s="100"/>
      <c r="E42" s="78" t="s">
        <v>20</v>
      </c>
      <c r="F42" s="78"/>
      <c r="G42" s="78"/>
      <c r="H42" s="78"/>
      <c r="I42" s="78"/>
      <c r="J42" s="78"/>
      <c r="K42" s="78"/>
      <c r="L42" s="78"/>
      <c r="M42" s="78"/>
      <c r="N42" s="78"/>
      <c r="AQ42" s="41"/>
    </row>
    <row r="43" spans="2:43" x14ac:dyDescent="0.25">
      <c r="B43" s="100" t="s">
        <v>77</v>
      </c>
      <c r="C43" s="22" t="s">
        <v>7</v>
      </c>
      <c r="D43" s="22" t="s">
        <v>2</v>
      </c>
      <c r="E43" s="78" t="s">
        <v>19</v>
      </c>
      <c r="F43" s="78"/>
      <c r="G43" s="78"/>
      <c r="H43" s="78" t="s">
        <v>18</v>
      </c>
      <c r="I43" s="78"/>
      <c r="J43" s="78"/>
      <c r="K43" s="78" t="s">
        <v>17</v>
      </c>
      <c r="L43" s="78"/>
      <c r="M43" s="78"/>
      <c r="N43" s="51" t="s">
        <v>16</v>
      </c>
    </row>
    <row r="44" spans="2:43" x14ac:dyDescent="0.25">
      <c r="B44" s="100"/>
      <c r="C44" s="22" t="s">
        <v>7</v>
      </c>
      <c r="D44" s="22" t="s">
        <v>0</v>
      </c>
      <c r="E44" s="78" t="s">
        <v>15</v>
      </c>
      <c r="F44" s="78"/>
      <c r="G44" s="78"/>
      <c r="H44" s="78" t="s">
        <v>14</v>
      </c>
      <c r="I44" s="78"/>
      <c r="J44" s="78"/>
      <c r="K44" s="78" t="s">
        <v>13</v>
      </c>
      <c r="L44" s="78"/>
      <c r="M44" s="78"/>
      <c r="N44" s="51" t="s">
        <v>12</v>
      </c>
    </row>
    <row r="45" spans="2:43" x14ac:dyDescent="0.25">
      <c r="B45" s="100" t="s">
        <v>78</v>
      </c>
      <c r="C45" s="22" t="s">
        <v>7</v>
      </c>
      <c r="D45" s="22" t="s">
        <v>2</v>
      </c>
      <c r="E45" s="78" t="s">
        <v>11</v>
      </c>
      <c r="F45" s="78"/>
      <c r="G45" s="78"/>
      <c r="H45" s="78" t="s">
        <v>10</v>
      </c>
      <c r="I45" s="78"/>
      <c r="J45" s="78"/>
      <c r="K45" s="78" t="s">
        <v>9</v>
      </c>
      <c r="L45" s="78"/>
      <c r="M45" s="78"/>
      <c r="N45" s="51" t="s">
        <v>8</v>
      </c>
    </row>
    <row r="46" spans="2:43" x14ac:dyDescent="0.25">
      <c r="B46" s="100"/>
      <c r="C46" s="22" t="s">
        <v>7</v>
      </c>
      <c r="D46" s="22" t="s">
        <v>0</v>
      </c>
      <c r="E46" s="78" t="s">
        <v>6</v>
      </c>
      <c r="F46" s="78"/>
      <c r="G46" s="78"/>
      <c r="H46" s="78" t="s">
        <v>5</v>
      </c>
      <c r="I46" s="78"/>
      <c r="J46" s="78"/>
      <c r="K46" s="78" t="s">
        <v>4</v>
      </c>
      <c r="L46" s="78"/>
      <c r="M46" s="78"/>
      <c r="N46" s="51" t="s">
        <v>3</v>
      </c>
    </row>
    <row r="47" spans="2:43" x14ac:dyDescent="0.25">
      <c r="B47" s="100" t="s">
        <v>79</v>
      </c>
      <c r="C47" s="22" t="s">
        <v>1</v>
      </c>
      <c r="D47" s="22" t="s">
        <v>2</v>
      </c>
      <c r="E47" s="103">
        <v>16.5</v>
      </c>
      <c r="F47" s="103"/>
      <c r="G47" s="103"/>
      <c r="H47" s="103">
        <v>21.5</v>
      </c>
      <c r="I47" s="103"/>
      <c r="J47" s="103"/>
      <c r="K47" s="103">
        <v>26.7</v>
      </c>
      <c r="L47" s="103"/>
      <c r="M47" s="103"/>
      <c r="N47" s="53">
        <v>37.6</v>
      </c>
      <c r="Q47" s="54"/>
    </row>
    <row r="48" spans="2:43" x14ac:dyDescent="0.25">
      <c r="B48" s="100"/>
      <c r="C48" s="22" t="s">
        <v>1</v>
      </c>
      <c r="D48" s="22" t="s">
        <v>0</v>
      </c>
      <c r="E48" s="103">
        <v>2.2999999999999998</v>
      </c>
      <c r="F48" s="103"/>
      <c r="G48" s="103"/>
      <c r="H48" s="103">
        <v>3.4</v>
      </c>
      <c r="I48" s="103"/>
      <c r="J48" s="103"/>
      <c r="K48" s="103">
        <v>5.2</v>
      </c>
      <c r="L48" s="103"/>
      <c r="M48" s="103"/>
      <c r="N48" s="53">
        <v>7.8</v>
      </c>
    </row>
    <row r="49" spans="2:45" x14ac:dyDescent="0.25">
      <c r="B49" s="100" t="s">
        <v>80</v>
      </c>
      <c r="C49" s="22" t="s">
        <v>1</v>
      </c>
      <c r="D49" s="22" t="s">
        <v>2</v>
      </c>
      <c r="E49" s="102">
        <v>19</v>
      </c>
      <c r="F49" s="102"/>
      <c r="G49" s="102"/>
      <c r="H49" s="103">
        <v>24.3</v>
      </c>
      <c r="I49" s="103"/>
      <c r="J49" s="103"/>
      <c r="K49" s="103">
        <v>30.5</v>
      </c>
      <c r="L49" s="103"/>
      <c r="M49" s="103"/>
      <c r="N49" s="53">
        <v>42.2</v>
      </c>
    </row>
    <row r="50" spans="2:45" x14ac:dyDescent="0.25">
      <c r="B50" s="100"/>
      <c r="C50" s="22" t="s">
        <v>1</v>
      </c>
      <c r="D50" s="22" t="s">
        <v>0</v>
      </c>
      <c r="E50" s="103">
        <v>3.3</v>
      </c>
      <c r="F50" s="103"/>
      <c r="G50" s="103"/>
      <c r="H50" s="103">
        <v>4.9000000000000004</v>
      </c>
      <c r="I50" s="103"/>
      <c r="J50" s="103"/>
      <c r="K50" s="103">
        <v>7.1</v>
      </c>
      <c r="L50" s="103"/>
      <c r="M50" s="103"/>
      <c r="N50" s="53">
        <v>10.5</v>
      </c>
    </row>
    <row r="51" spans="2:45" x14ac:dyDescent="0.25">
      <c r="B51" s="55"/>
      <c r="C51" s="54"/>
      <c r="E51" s="56"/>
      <c r="F51" s="56"/>
      <c r="G51" s="56"/>
      <c r="H51" s="56"/>
      <c r="I51" s="56"/>
      <c r="J51" s="56"/>
      <c r="K51" s="56"/>
      <c r="L51" s="56"/>
      <c r="M51" s="56"/>
      <c r="N51" s="57"/>
    </row>
    <row r="52" spans="2:45" x14ac:dyDescent="0.25">
      <c r="B52" s="55"/>
      <c r="C52" s="54"/>
      <c r="D52" s="54"/>
      <c r="E52" s="56"/>
      <c r="F52" s="56"/>
      <c r="G52" s="56"/>
      <c r="H52" s="56"/>
      <c r="I52" s="56"/>
      <c r="J52" s="56"/>
      <c r="K52" s="56"/>
      <c r="L52" s="56"/>
      <c r="M52" s="56"/>
      <c r="N52" s="57"/>
    </row>
    <row r="53" spans="2:45" ht="18" thickBot="1" x14ac:dyDescent="0.3">
      <c r="B53" s="55"/>
      <c r="C53" s="54"/>
      <c r="D53" s="54"/>
      <c r="E53" s="56"/>
      <c r="F53" s="56"/>
      <c r="G53" s="56"/>
      <c r="H53" s="56"/>
      <c r="I53" s="56"/>
      <c r="J53" s="56"/>
      <c r="K53" s="56"/>
      <c r="L53" s="56"/>
      <c r="M53" s="56"/>
      <c r="N53" s="57"/>
    </row>
    <row r="54" spans="2:45" ht="18" thickBot="1" x14ac:dyDescent="0.3">
      <c r="B54" s="55"/>
      <c r="C54" s="54"/>
      <c r="D54" s="54"/>
      <c r="G54" s="99" t="s">
        <v>60</v>
      </c>
      <c r="H54" s="99"/>
      <c r="I54" s="99" t="s">
        <v>61</v>
      </c>
      <c r="J54" s="99"/>
      <c r="M54" s="56"/>
      <c r="N54" s="57"/>
    </row>
    <row r="55" spans="2:45" x14ac:dyDescent="0.25">
      <c r="B55" s="55"/>
      <c r="C55" s="54"/>
      <c r="D55" s="54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S55" s="12"/>
    </row>
    <row r="56" spans="2:45" s="12" customFormat="1" ht="18" thickBot="1" x14ac:dyDescent="0.3">
      <c r="B56" s="106" t="s">
        <v>48</v>
      </c>
      <c r="C56" s="106"/>
      <c r="D56" s="106"/>
      <c r="E56" s="106"/>
      <c r="F56" s="106"/>
      <c r="G56" s="17" t="str">
        <f t="shared" ref="G56:N56" si="3">"CF4"&amp;"-"&amp;G57/10&amp;"-AC"</f>
      </c>
      <c r="H56" s="17" t="str">
        <f t="shared" si="3"/>
        <v>CF4-85-AC</v>
      </c>
      <c r="I56" s="17" t="str">
        <f t="shared" si="3"/>
        <v>CF4-102-AC</v>
      </c>
      <c r="J56" s="17" t="str">
        <f t="shared" si="3"/>
        <v>CF4-136-AC</v>
      </c>
      <c r="K56" s="17" t="str">
        <f t="shared" si="3"/>
        <v>CF4-170-AC</v>
      </c>
      <c r="L56" s="17" t="str">
        <f t="shared" si="3"/>
        <v>CF4-204-AC</v>
      </c>
      <c r="M56" s="17" t="str">
        <f t="shared" si="3"/>
        <v>CF4-238-AC</v>
      </c>
      <c r="N56" s="17" t="str">
        <f t="shared" si="3"/>
        <v>CF4-289-AC</v>
      </c>
    </row>
    <row r="57" spans="2:45" ht="17.399999999999999" customHeight="1" x14ac:dyDescent="0.25">
      <c r="B57" s="91" t="s">
        <v>47</v>
      </c>
      <c r="C57" s="107"/>
      <c r="D57" s="107"/>
      <c r="E57" s="104" t="s">
        <v>46</v>
      </c>
      <c r="F57" s="60" t="s">
        <v>41</v>
      </c>
      <c r="G57" s="30">
        <v>680</v>
      </c>
      <c r="H57" s="31">
        <v>850</v>
      </c>
      <c r="I57" s="30">
        <v>1020</v>
      </c>
      <c r="J57" s="31">
        <v>1360</v>
      </c>
      <c r="K57" s="30">
        <v>1700</v>
      </c>
      <c r="L57" s="31">
        <v>2040</v>
      </c>
      <c r="M57" s="30">
        <v>2380</v>
      </c>
      <c r="N57" s="32">
        <v>2890</v>
      </c>
    </row>
    <row r="58" spans="2:45" x14ac:dyDescent="0.25">
      <c r="B58" s="92"/>
      <c r="C58" s="100"/>
      <c r="D58" s="100"/>
      <c r="E58" s="78"/>
      <c r="F58" s="46" t="s">
        <v>40</v>
      </c>
      <c r="G58" s="33">
        <v>520</v>
      </c>
      <c r="H58" s="34">
        <v>640</v>
      </c>
      <c r="I58" s="33">
        <v>790</v>
      </c>
      <c r="J58" s="34">
        <v>1030</v>
      </c>
      <c r="K58" s="33">
        <v>1290</v>
      </c>
      <c r="L58" s="34">
        <v>1500</v>
      </c>
      <c r="M58" s="33">
        <v>1800</v>
      </c>
      <c r="N58" s="35">
        <v>2100</v>
      </c>
    </row>
    <row r="59" spans="2:45" ht="18" thickBot="1" x14ac:dyDescent="0.3">
      <c r="B59" s="93"/>
      <c r="C59" s="108"/>
      <c r="D59" s="108"/>
      <c r="E59" s="105"/>
      <c r="F59" s="61" t="s">
        <v>39</v>
      </c>
      <c r="G59" s="36">
        <v>350</v>
      </c>
      <c r="H59" s="37">
        <v>430</v>
      </c>
      <c r="I59" s="36">
        <v>520</v>
      </c>
      <c r="J59" s="37">
        <v>690</v>
      </c>
      <c r="K59" s="36">
        <v>860</v>
      </c>
      <c r="L59" s="37">
        <v>1030</v>
      </c>
      <c r="M59" s="36">
        <v>1200</v>
      </c>
      <c r="N59" s="38">
        <v>1600</v>
      </c>
    </row>
    <row r="60" spans="2:45" ht="17.399999999999999" customHeight="1" x14ac:dyDescent="0.25">
      <c r="B60" s="91" t="s">
        <v>81</v>
      </c>
      <c r="C60" s="107"/>
      <c r="D60" s="107"/>
      <c r="E60" s="104" t="s">
        <v>44</v>
      </c>
      <c r="F60" s="60" t="s">
        <v>41</v>
      </c>
      <c r="G60" s="30">
        <f>IF($W$3&lt;0,IF(OR($N$3&lt;3,$N$3&gt;14),"Vandens t. 3-14°C",132.6*$W$4-370.8+614794*$W$8),"")</f>
      </c>
      <c r="H60" s="31">
        <f>IF($W$3&lt;0,IF(OR($N$3&lt;3,$N$3&gt;14),"Vandens t. 3-14°C",156.7*$W$4-413+728295*$W$8),"")</f>
      </c>
      <c r="I60" s="30">
        <f>IF($W$3&lt;0,IF(OR($N$3&lt;3,$N$3&gt;14),"Vandens t. 3-14°C",182.1*$W$4-486.4+851254*$W$8),"")</f>
      </c>
      <c r="J60" s="31">
        <f>IF($W$3&lt;0,IF(OR($N$3&lt;3,$N$3&gt;14),"Vandens t. 3-14°C",234.7*$W$4-507.7+1135005*$W$8),"")</f>
      </c>
      <c r="K60" s="30">
        <f>IF($W$3&lt;0,IF(OR($N$3&lt;3,$N$3&gt;14),"Vandens t. 3-14°C",299*$W$4-732.2+1418756*$W$8),"")</f>
      </c>
      <c r="L60" s="31">
        <f>IF($W$3&lt;0,IF(OR($N$3&lt;3,$N$3&gt;14),"Vandens t. 3-14°C",355*$W$4-963.3+1655215*$W$8),"")</f>
      </c>
      <c r="M60" s="30">
        <f>IF($W$3&lt;0,IF(OR($N$3&lt;3,$N$3&gt;14),"Vandens t. 3-14°C",432.6*$W$4-1270.7+1986258*$W$8),"")</f>
      </c>
      <c r="N60" s="32">
        <f>IF($W$3&lt;0,IF(OR($N$3&lt;3,$N$3&gt;14),"Vandens t. 3-14°C",523.5*$W$4-1431.8+2430802*$W$8),"")</f>
      </c>
    </row>
    <row r="61" spans="2:45" x14ac:dyDescent="0.25">
      <c r="B61" s="92"/>
      <c r="C61" s="100"/>
      <c r="D61" s="100"/>
      <c r="E61" s="78"/>
      <c r="F61" s="46" t="s">
        <v>40</v>
      </c>
      <c r="G61" s="33">
        <f>IFERROR(ROUND(G60*0.769,0),"")</f>
      </c>
      <c r="H61" s="34">
        <f>IFERROR(ROUND(H60*0.774,0),"")</f>
      </c>
      <c r="I61" s="33">
        <f>IFERROR(ROUND(I60*0.778,0),"")</f>
      </c>
      <c r="J61" s="34">
        <f>IFERROR(ROUND(J60*0.771,0),"")</f>
      </c>
      <c r="K61" s="33">
        <f>IFERROR(ROUND(K60*0.783,0),"")</f>
      </c>
      <c r="L61" s="34">
        <f>IFERROR(ROUND(L60*0.857,0),"")</f>
      </c>
      <c r="M61" s="33">
        <f>IFERROR(ROUND(M60*0.774,0),"")</f>
      </c>
      <c r="N61" s="35">
        <f>IFERROR(ROUND(N60*0.728,0),"")</f>
      </c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</row>
    <row r="62" spans="2:45" ht="18" thickBot="1" x14ac:dyDescent="0.3">
      <c r="B62" s="93"/>
      <c r="C62" s="108"/>
      <c r="D62" s="108"/>
      <c r="E62" s="105"/>
      <c r="F62" s="61" t="s">
        <v>39</v>
      </c>
      <c r="G62" s="36">
        <f>IFERROR(ROUND(G60*0.538,0),"")</f>
      </c>
      <c r="H62" s="37">
        <f>IFERROR(ROUND(H60*0.581,0),"")</f>
      </c>
      <c r="I62" s="36">
        <f>IFERROR(ROUND(I60*0.583,0),"")</f>
      </c>
      <c r="J62" s="37">
        <f>IFERROR(ROUND(J60*0.625,0),"")</f>
      </c>
      <c r="K62" s="36">
        <f>IFERROR(ROUND(K60*0.6,0),"")</f>
      </c>
      <c r="L62" s="37">
        <f>IFERROR(ROUND(L60*0.657,0),"")</f>
      </c>
      <c r="M62" s="36">
        <f>IFERROR(ROUND(M60*0.595,0),"")</f>
      </c>
      <c r="N62" s="38">
        <f>IFERROR(ROUND(N60*0.553,0),"")</f>
      </c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</row>
    <row r="63" spans="2:45" ht="17.399999999999999" customHeight="1" x14ac:dyDescent="0.25">
      <c r="B63" s="91" t="s">
        <v>82</v>
      </c>
      <c r="C63" s="107"/>
      <c r="D63" s="107"/>
      <c r="E63" s="104" t="s">
        <v>44</v>
      </c>
      <c r="F63" s="60" t="s">
        <v>41</v>
      </c>
      <c r="G63" s="30">
        <f>IF($W$3&lt;0,IF(OR($N$3&lt;3,$N$3&gt;14),"Vandens t. 3-14°C",132.6*$W$4-370.8),"")</f>
      </c>
      <c r="H63" s="31">
        <f>IF($W$3&lt;0,IF(OR($N$3&lt;3,$N$3&gt;14),"Vandens t. 3-14°C",156.7*$W$4-413),"")</f>
      </c>
      <c r="I63" s="30">
        <f>IF($W$3&lt;0,IF(OR($N$3&lt;3,$N$3&gt;14),"Vandens t. 3-14°C",182.1*$W$4-486.4),"")</f>
      </c>
      <c r="J63" s="31">
        <f>IF($W$3&lt;0,IF(OR($N$3&lt;3,$N$3&gt;14),"Vandens t. 3-14°C",234.7*$W$4-507.7),"")</f>
      </c>
      <c r="K63" s="30">
        <f>IF($W$3&lt;0,IF(OR($N$3&lt;3,$N$3&gt;14),"Vandens t. 3-14°C",299*$W$4-732.2),"")</f>
      </c>
      <c r="L63" s="31">
        <f>IF($W$3&lt;0,IF(OR($N$3&lt;3,$N$3&gt;14),"Vandens t. 3-14°C",355*$W$4-963.3),"")</f>
      </c>
      <c r="M63" s="30">
        <f>IF($W$3&lt;0,IF(OR($N$3&lt;3,$N$3&gt;14),"Vandens t. 3-14°C",432.6*$W$4-1270.7),"")</f>
      </c>
      <c r="N63" s="32">
        <f>IF($W$3&lt;0,IF(OR($N$3&lt;3,$N$3&gt;14),"Vandens t. 3-14°C",523.5*$W$4-1431.8),"")</f>
      </c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</row>
    <row r="64" spans="2:45" x14ac:dyDescent="0.25">
      <c r="B64" s="92"/>
      <c r="C64" s="100"/>
      <c r="D64" s="100"/>
      <c r="E64" s="78"/>
      <c r="F64" s="46" t="s">
        <v>40</v>
      </c>
      <c r="G64" s="33">
        <f>IFERROR(ROUND(G63*0.769,0),"")</f>
      </c>
      <c r="H64" s="34">
        <f>IFERROR(ROUND(H63*0.774,0),"")</f>
      </c>
      <c r="I64" s="33">
        <f>IFERROR(ROUND(I63*0.778,0),"")</f>
      </c>
      <c r="J64" s="34">
        <f>IFERROR(ROUND(J63*0.771,0),"")</f>
      </c>
      <c r="K64" s="33">
        <f>IFERROR(ROUND(K63*0.783,0),"")</f>
      </c>
      <c r="L64" s="34">
        <f>IFERROR(ROUND(L63*0.857,0),"")</f>
      </c>
      <c r="M64" s="33">
        <f>IFERROR(ROUND(M63*0.774,0),"")</f>
      </c>
      <c r="N64" s="35">
        <f>IFERROR(ROUND(N63*0.728,0),"")</f>
      </c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</row>
    <row r="65" spans="2:43" ht="18" thickBot="1" x14ac:dyDescent="0.3">
      <c r="B65" s="93"/>
      <c r="C65" s="108"/>
      <c r="D65" s="108"/>
      <c r="E65" s="105"/>
      <c r="F65" s="61" t="s">
        <v>39</v>
      </c>
      <c r="G65" s="36">
        <f>IFERROR(ROUND(G63*0.538,0),"")</f>
      </c>
      <c r="H65" s="37">
        <f>IFERROR(ROUND(H63*0.581,0),"")</f>
      </c>
      <c r="I65" s="36">
        <f>IFERROR(ROUND(I63*0.583,0),"")</f>
      </c>
      <c r="J65" s="37">
        <f>IFERROR(ROUND(J63*0.625,0),"")</f>
      </c>
      <c r="K65" s="36">
        <f>IFERROR(ROUND(K63*0.6,0),"")</f>
      </c>
      <c r="L65" s="37">
        <f>IFERROR(ROUND(L63*0.657,0),"")</f>
      </c>
      <c r="M65" s="36">
        <f>IFERROR(ROUND(M63*0.595,0),"")</f>
      </c>
      <c r="N65" s="38">
        <f>IFERROR(ROUND(N63*0.553,0),"")</f>
      </c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</row>
    <row r="66" spans="2:43" ht="17.399999999999999" customHeight="1" x14ac:dyDescent="0.25">
      <c r="B66" s="91" t="s">
        <v>83</v>
      </c>
      <c r="C66" s="107"/>
      <c r="D66" s="107"/>
      <c r="E66" s="104" t="s">
        <v>44</v>
      </c>
      <c r="F66" s="60" t="s">
        <v>41</v>
      </c>
      <c r="G66" s="30">
        <f>IF($W$3&gt;0,IF(OR($N$3&lt;30,$N$3&gt;70),"Vandens t. 30-70°C",81*$W$4-211.2),"")</f>
      </c>
      <c r="H66" s="31">
        <f>IF($W$3&gt;0,IF(OR($N$3&lt;30,$N$3&gt;70),"Vandens t. 30-70°C",108.7*$W$4-278),"")</f>
      </c>
      <c r="I66" s="30">
        <f>IF($W$3&gt;0,IF(OR($N$3&lt;30,$N$3&gt;70),"Vandens t. 30-70°C",132.6*$W$4-312.6),"")</f>
      </c>
      <c r="J66" s="31">
        <f>IF($W$3&gt;0,IF(OR($N$3&lt;30,$N$3&gt;70),"Vandens t. 30-70°C",151.2*$W$4-418.7),"")</f>
      </c>
      <c r="K66" s="30">
        <f>IF($W$3&gt;0,IF(OR($N$3&lt;30,$N$3&gt;70),"Vandens t. 30-70°C",200.7*$W$4-525),"")</f>
      </c>
      <c r="L66" s="31">
        <f>IF($W$3&gt;0,IF(OR($N$3&lt;30,$N$3&gt;70),"Vandens t. 30-70°C",222.5*$W$4-564.3),"")</f>
      </c>
      <c r="M66" s="30">
        <f>IF($W$3&gt;0,IF(OR($N$3&lt;30,$N$3&gt;70),"Vandens t. 30-70°C",264.9*$W$4-618.9),"")</f>
      </c>
      <c r="N66" s="32">
        <f>IF($W$3&gt;0,IF(OR($N$3&lt;30,$N$3&gt;70),"Vandens t. 30-70°C",369.5*$W$4-914.7),"")</f>
      </c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</row>
    <row r="67" spans="2:43" x14ac:dyDescent="0.25">
      <c r="B67" s="92"/>
      <c r="C67" s="100"/>
      <c r="D67" s="100"/>
      <c r="E67" s="78"/>
      <c r="F67" s="46" t="s">
        <v>40</v>
      </c>
      <c r="G67" s="33">
        <f>IFERROR(ROUND(G66*0.769,0),"")</f>
      </c>
      <c r="H67" s="34">
        <f>IFERROR(ROUND(H66*0.771,0),"")</f>
      </c>
      <c r="I67" s="33">
        <f>IFERROR(ROUND(I66*0.744,0),"")</f>
      </c>
      <c r="J67" s="34">
        <f>IFERROR(ROUND(J66*0.878,0),"")</f>
      </c>
      <c r="K67" s="33">
        <f>IFERROR(ROUND(K66*0.831,0),"")</f>
      </c>
      <c r="L67" s="34">
        <f>IFERROR(ROUND(L66*0.778,0),"")</f>
      </c>
      <c r="M67" s="33">
        <f>IFERROR(ROUND(M66*0.874,0),"")</f>
      </c>
      <c r="N67" s="35">
        <f>IFERROR(ROUND(N66*0.731,0),"")</f>
      </c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</row>
    <row r="68" spans="2:43" ht="18" thickBot="1" x14ac:dyDescent="0.3">
      <c r="B68" s="93"/>
      <c r="C68" s="108"/>
      <c r="D68" s="108"/>
      <c r="E68" s="105"/>
      <c r="F68" s="61" t="s">
        <v>39</v>
      </c>
      <c r="G68" s="36">
        <f>IFERROR(ROUND(G66*0.538,0),"")</f>
      </c>
      <c r="H68" s="37">
        <f>IFERROR(ROUND(H66*0.6,0),"")</f>
      </c>
      <c r="I68" s="36">
        <f>IFERROR(ROUND(I66*0.581,0),"")</f>
      </c>
      <c r="J68" s="37">
        <f>IFERROR(ROUND(J66*0.714,0),"")</f>
      </c>
      <c r="K68" s="36">
        <f>IFERROR(ROUND(K66*0.646,0),"")</f>
      </c>
      <c r="L68" s="37">
        <f>IFERROR(ROUND(L66*0.597,0),"")</f>
      </c>
      <c r="M68" s="36">
        <f>IFERROR(ROUND(M66*0.667,0),"")</f>
      </c>
      <c r="N68" s="38">
        <f>IFERROR(ROUND(N66*0.555,0),"")</f>
      </c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</row>
    <row r="69" spans="2:43" s="40" customFormat="1" ht="17.399999999999999" customHeight="1" x14ac:dyDescent="0.25">
      <c r="B69" s="124" t="s">
        <v>68</v>
      </c>
      <c r="C69" s="124"/>
      <c r="D69" s="124"/>
      <c r="E69" s="124"/>
      <c r="F69" s="124"/>
      <c r="G69" s="125" t="s">
        <v>45</v>
      </c>
      <c r="H69" s="126"/>
      <c r="I69" s="126"/>
      <c r="J69" s="126"/>
      <c r="K69" s="126"/>
      <c r="L69" s="126"/>
      <c r="M69" s="126"/>
      <c r="N69" s="127"/>
      <c r="AQ69" s="41"/>
    </row>
    <row r="70" spans="2:43" s="40" customFormat="1" x14ac:dyDescent="0.25">
      <c r="B70" s="112" t="s">
        <v>69</v>
      </c>
      <c r="C70" s="113"/>
      <c r="D70" s="114"/>
      <c r="E70" s="46" t="s">
        <v>44</v>
      </c>
      <c r="F70" s="46"/>
      <c r="G70" s="23">
        <v>62</v>
      </c>
      <c r="H70" s="24">
        <v>76</v>
      </c>
      <c r="I70" s="23">
        <v>96</v>
      </c>
      <c r="J70" s="24">
        <v>132</v>
      </c>
      <c r="K70" s="23">
        <v>152</v>
      </c>
      <c r="L70" s="24">
        <v>189</v>
      </c>
      <c r="M70" s="23">
        <v>220</v>
      </c>
      <c r="N70" s="24">
        <v>330</v>
      </c>
      <c r="AQ70" s="41"/>
    </row>
    <row r="71" spans="2:43" s="40" customFormat="1" x14ac:dyDescent="0.25">
      <c r="B71" s="112" t="s">
        <v>70</v>
      </c>
      <c r="C71" s="113"/>
      <c r="D71" s="114"/>
      <c r="E71" s="46" t="s">
        <v>43</v>
      </c>
      <c r="F71" s="63"/>
      <c r="G71" s="43">
        <f t="shared" ref="G71:N71" si="4">G70/230</f>
      </c>
      <c r="H71" s="44">
        <f t="shared" si="4"/>
        <v>0.32173913043478258</v>
      </c>
      <c r="I71" s="43">
        <f t="shared" si="4"/>
        <v>0.40434782608695652</v>
      </c>
      <c r="J71" s="44">
        <f t="shared" si="4"/>
        <v>0.56521739130434778</v>
      </c>
      <c r="K71" s="43">
        <f t="shared" si="4"/>
        <v>0.63913043478260867</v>
      </c>
      <c r="L71" s="44">
        <f t="shared" si="4"/>
        <v>0.79565217391304344</v>
      </c>
      <c r="M71" s="43">
        <f t="shared" si="4"/>
        <v>0.96086956521739131</v>
      </c>
      <c r="N71" s="44">
        <f t="shared" si="4"/>
        <v>1.4347826086956521</v>
      </c>
      <c r="AQ71" s="41"/>
    </row>
    <row r="72" spans="2:43" ht="17.399999999999999" customHeight="1" x14ac:dyDescent="0.25">
      <c r="B72" s="115" t="s">
        <v>71</v>
      </c>
      <c r="C72" s="116"/>
      <c r="D72" s="117"/>
      <c r="E72" s="78" t="s">
        <v>42</v>
      </c>
      <c r="F72" s="46" t="s">
        <v>41</v>
      </c>
      <c r="G72" s="45">
        <v>41</v>
      </c>
      <c r="H72" s="46">
        <v>43</v>
      </c>
      <c r="I72" s="45">
        <v>45</v>
      </c>
      <c r="J72" s="46">
        <v>46</v>
      </c>
      <c r="K72" s="45">
        <v>47</v>
      </c>
      <c r="L72" s="46">
        <v>50</v>
      </c>
      <c r="M72" s="45">
        <v>52</v>
      </c>
      <c r="N72" s="46">
        <v>57</v>
      </c>
    </row>
    <row r="73" spans="2:43" x14ac:dyDescent="0.25">
      <c r="B73" s="121"/>
      <c r="C73" s="122"/>
      <c r="D73" s="123"/>
      <c r="E73" s="78"/>
      <c r="F73" s="46" t="s">
        <v>40</v>
      </c>
      <c r="G73" s="45">
        <v>36</v>
      </c>
      <c r="H73" s="46">
        <v>34</v>
      </c>
      <c r="I73" s="45">
        <v>36</v>
      </c>
      <c r="J73" s="46">
        <v>41</v>
      </c>
      <c r="K73" s="45">
        <v>41</v>
      </c>
      <c r="L73" s="46">
        <v>43</v>
      </c>
      <c r="M73" s="45">
        <v>47</v>
      </c>
      <c r="N73" s="46">
        <v>53</v>
      </c>
    </row>
    <row r="74" spans="2:43" x14ac:dyDescent="0.25">
      <c r="B74" s="118"/>
      <c r="C74" s="119"/>
      <c r="D74" s="120"/>
      <c r="E74" s="78"/>
      <c r="F74" s="46" t="s">
        <v>39</v>
      </c>
      <c r="G74" s="45">
        <v>32</v>
      </c>
      <c r="H74" s="46">
        <v>30</v>
      </c>
      <c r="I74" s="45">
        <v>32</v>
      </c>
      <c r="J74" s="46">
        <v>34</v>
      </c>
      <c r="K74" s="45">
        <v>35</v>
      </c>
      <c r="L74" s="46">
        <v>37</v>
      </c>
      <c r="M74" s="45">
        <v>43</v>
      </c>
      <c r="N74" s="46">
        <v>48</v>
      </c>
    </row>
    <row r="75" spans="2:43" ht="17.399999999999999" customHeight="1" x14ac:dyDescent="0.25">
      <c r="B75" s="115" t="s">
        <v>72</v>
      </c>
      <c r="C75" s="116"/>
      <c r="D75" s="117"/>
      <c r="E75" s="39" t="s">
        <v>38</v>
      </c>
      <c r="F75" s="39" t="s">
        <v>37</v>
      </c>
      <c r="G75" s="33">
        <f t="shared" ref="G75:N75" si="5">IFERROR(ROUND(G60/(1.163*($N$4-$N$3)),0),"")</f>
      </c>
      <c r="H75" s="34">
        <f t="shared" si="5"/>
        <v>475</v>
      </c>
      <c r="I75" s="33">
        <f t="shared" si="5"/>
        <v>552</v>
      </c>
      <c r="J75" s="34">
        <f t="shared" si="5"/>
        <v>733</v>
      </c>
      <c r="K75" s="33">
        <f t="shared" si="5"/>
        <v>908</v>
      </c>
      <c r="L75" s="34">
        <f t="shared" si="5"/>
        <v>1049</v>
      </c>
      <c r="M75" s="33">
        <f t="shared" si="5"/>
        <v>1216</v>
      </c>
      <c r="N75" s="34">
        <f t="shared" si="5"/>
        <v>1552</v>
      </c>
    </row>
    <row r="76" spans="2:43" x14ac:dyDescent="0.25">
      <c r="B76" s="118"/>
      <c r="C76" s="119"/>
      <c r="D76" s="120"/>
      <c r="E76" s="46" t="s">
        <v>38</v>
      </c>
      <c r="F76" s="46" t="s">
        <v>35</v>
      </c>
      <c r="G76" s="33" t="str">
        <f t="shared" ref="G76:N76" si="6">IFERROR(ROUND(G66/(1.163*($N$3-$N$4)),0),"")</f>
        <v/>
      </c>
      <c r="H76" s="34" t="str">
        <f t="shared" si="6"/>
        <v/>
      </c>
      <c r="I76" s="33" t="str">
        <f t="shared" si="6"/>
        <v/>
      </c>
      <c r="J76" s="34" t="str">
        <f t="shared" si="6"/>
        <v/>
      </c>
      <c r="K76" s="33" t="str">
        <f t="shared" si="6"/>
        <v/>
      </c>
      <c r="L76" s="34" t="str">
        <f t="shared" si="6"/>
        <v/>
      </c>
      <c r="M76" s="33" t="str">
        <f t="shared" si="6"/>
        <v/>
      </c>
      <c r="N76" s="34" t="str">
        <f t="shared" si="6"/>
        <v/>
      </c>
    </row>
    <row r="77" spans="2:43" ht="17.399999999999999" customHeight="1" x14ac:dyDescent="0.25">
      <c r="B77" s="115" t="s">
        <v>73</v>
      </c>
      <c r="C77" s="116"/>
      <c r="D77" s="117"/>
      <c r="E77" s="46" t="s">
        <v>36</v>
      </c>
      <c r="F77" s="66" t="s">
        <v>58</v>
      </c>
      <c r="G77" s="33">
        <v>11</v>
      </c>
      <c r="H77" s="34">
        <v>17</v>
      </c>
      <c r="I77" s="33">
        <v>22</v>
      </c>
      <c r="J77" s="34">
        <v>24</v>
      </c>
      <c r="K77" s="33">
        <v>27</v>
      </c>
      <c r="L77" s="34">
        <v>30</v>
      </c>
      <c r="M77" s="33">
        <v>35</v>
      </c>
      <c r="N77" s="34">
        <v>40</v>
      </c>
    </row>
    <row r="78" spans="2:43" ht="17.399999999999999" customHeight="1" x14ac:dyDescent="0.25">
      <c r="B78" s="118"/>
      <c r="C78" s="119"/>
      <c r="D78" s="120"/>
      <c r="E78" s="46" t="s">
        <v>36</v>
      </c>
      <c r="F78" s="66" t="s">
        <v>59</v>
      </c>
      <c r="G78" s="33">
        <v>1.54</v>
      </c>
      <c r="H78" s="34">
        <v>2.24</v>
      </c>
      <c r="I78" s="33">
        <v>2.92</v>
      </c>
      <c r="J78" s="34">
        <v>3.66</v>
      </c>
      <c r="K78" s="33">
        <v>7.94</v>
      </c>
      <c r="L78" s="34">
        <v>11.15</v>
      </c>
      <c r="M78" s="33">
        <v>10.82</v>
      </c>
      <c r="N78" s="34">
        <v>15.47</v>
      </c>
    </row>
    <row r="79" spans="2:43" s="40" customFormat="1" x14ac:dyDescent="0.25">
      <c r="B79" s="109" t="s">
        <v>74</v>
      </c>
      <c r="C79" s="109"/>
      <c r="D79" s="109"/>
      <c r="E79" s="46" t="s">
        <v>34</v>
      </c>
      <c r="F79" s="64"/>
      <c r="G79" s="110">
        <v>1.6</v>
      </c>
      <c r="H79" s="111"/>
      <c r="I79" s="111"/>
      <c r="J79" s="111"/>
      <c r="K79" s="111"/>
      <c r="L79" s="111"/>
      <c r="M79" s="111"/>
      <c r="N79" s="77"/>
      <c r="AQ79" s="41"/>
    </row>
    <row r="80" spans="2:43" s="40" customFormat="1" ht="17.399999999999999" customHeight="1" x14ac:dyDescent="0.25">
      <c r="B80" s="100" t="s">
        <v>33</v>
      </c>
      <c r="C80" s="100"/>
      <c r="D80" s="100"/>
      <c r="E80" s="100"/>
      <c r="F80" s="100"/>
      <c r="G80" s="110" t="s">
        <v>32</v>
      </c>
      <c r="H80" s="111"/>
      <c r="I80" s="111"/>
      <c r="J80" s="111"/>
      <c r="K80" s="111"/>
      <c r="L80" s="111"/>
      <c r="M80" s="111"/>
      <c r="N80" s="77"/>
      <c r="AQ80" s="41"/>
    </row>
    <row r="81" spans="2:45" s="40" customFormat="1" x14ac:dyDescent="0.25">
      <c r="B81" s="76" t="s">
        <v>31</v>
      </c>
      <c r="C81" s="76"/>
      <c r="D81" s="76"/>
      <c r="E81" s="76"/>
      <c r="F81" s="76"/>
      <c r="G81" s="110" t="s">
        <v>30</v>
      </c>
      <c r="H81" s="111"/>
      <c r="I81" s="111"/>
      <c r="J81" s="111"/>
      <c r="K81" s="111"/>
      <c r="L81" s="111"/>
      <c r="M81" s="111"/>
      <c r="N81" s="77"/>
      <c r="AQ81" s="41"/>
    </row>
    <row r="82" spans="2:45" s="40" customFormat="1" x14ac:dyDescent="0.25">
      <c r="B82" s="76" t="s">
        <v>29</v>
      </c>
      <c r="C82" s="76"/>
      <c r="D82" s="76"/>
      <c r="E82" s="76"/>
      <c r="F82" s="76"/>
      <c r="G82" s="110" t="s">
        <v>28</v>
      </c>
      <c r="H82" s="111"/>
      <c r="I82" s="111"/>
      <c r="J82" s="111"/>
      <c r="K82" s="111"/>
      <c r="L82" s="111"/>
      <c r="M82" s="111"/>
      <c r="N82" s="77"/>
      <c r="AQ82" s="41"/>
    </row>
    <row r="83" spans="2:45" s="40" customFormat="1" x14ac:dyDescent="0.25">
      <c r="B83" s="76" t="s">
        <v>27</v>
      </c>
      <c r="C83" s="76"/>
      <c r="D83" s="76"/>
      <c r="E83" s="76"/>
      <c r="F83" s="76"/>
      <c r="G83" s="128" t="s">
        <v>26</v>
      </c>
      <c r="H83" s="129"/>
      <c r="I83" s="129"/>
      <c r="J83" s="129"/>
      <c r="K83" s="129"/>
      <c r="L83" s="129"/>
      <c r="M83" s="129"/>
      <c r="N83" s="130"/>
      <c r="AQ83" s="41"/>
    </row>
    <row r="84" spans="2:45" s="40" customFormat="1" x14ac:dyDescent="0.25">
      <c r="B84" s="76" t="s">
        <v>25</v>
      </c>
      <c r="C84" s="76"/>
      <c r="D84" s="76"/>
      <c r="E84" s="76"/>
      <c r="F84" s="76"/>
      <c r="G84" s="110" t="s">
        <v>24</v>
      </c>
      <c r="H84" s="111"/>
      <c r="I84" s="111"/>
      <c r="J84" s="111"/>
      <c r="K84" s="111"/>
      <c r="L84" s="111"/>
      <c r="M84" s="111"/>
      <c r="N84" s="77"/>
      <c r="AQ84" s="41"/>
    </row>
    <row r="85" spans="2:45" s="40" customFormat="1" x14ac:dyDescent="0.25">
      <c r="B85" s="76" t="s">
        <v>75</v>
      </c>
      <c r="C85" s="76"/>
      <c r="D85" s="76"/>
      <c r="E85" s="76"/>
      <c r="F85" s="76"/>
      <c r="G85" s="110" t="s">
        <v>23</v>
      </c>
      <c r="H85" s="111"/>
      <c r="I85" s="111"/>
      <c r="J85" s="111"/>
      <c r="K85" s="111"/>
      <c r="L85" s="111"/>
      <c r="M85" s="111"/>
      <c r="N85" s="77"/>
      <c r="AQ85" s="41"/>
    </row>
    <row r="86" spans="2:45" s="40" customFormat="1" x14ac:dyDescent="0.25">
      <c r="B86" s="131" t="s">
        <v>76</v>
      </c>
      <c r="C86" s="131"/>
      <c r="D86" s="131"/>
      <c r="E86" s="64" t="s">
        <v>7</v>
      </c>
      <c r="F86" s="65"/>
      <c r="G86" s="110" t="s">
        <v>22</v>
      </c>
      <c r="H86" s="111"/>
      <c r="I86" s="111"/>
      <c r="J86" s="111"/>
      <c r="K86" s="111"/>
      <c r="L86" s="111"/>
      <c r="M86" s="111"/>
      <c r="N86" s="77"/>
      <c r="AQ86" s="41"/>
    </row>
    <row r="87" spans="2:45" s="40" customFormat="1" ht="17.399999999999999" customHeight="1" x14ac:dyDescent="0.25">
      <c r="B87" s="100" t="s">
        <v>21</v>
      </c>
      <c r="C87" s="100"/>
      <c r="D87" s="100"/>
      <c r="E87" s="100"/>
      <c r="F87" s="100"/>
      <c r="G87" s="110" t="s">
        <v>20</v>
      </c>
      <c r="H87" s="111"/>
      <c r="I87" s="111"/>
      <c r="J87" s="111"/>
      <c r="K87" s="111"/>
      <c r="L87" s="111"/>
      <c r="M87" s="111"/>
      <c r="N87" s="77"/>
      <c r="AQ87" s="41"/>
    </row>
    <row r="88" spans="2:45" ht="17.399999999999999" customHeight="1" x14ac:dyDescent="0.25">
      <c r="B88" s="115" t="s">
        <v>77</v>
      </c>
      <c r="C88" s="116"/>
      <c r="D88" s="117"/>
      <c r="E88" s="46" t="s">
        <v>7</v>
      </c>
      <c r="F88" s="46" t="s">
        <v>2</v>
      </c>
      <c r="G88" s="46" t="s">
        <v>19</v>
      </c>
      <c r="H88" s="110" t="s">
        <v>18</v>
      </c>
      <c r="I88" s="111"/>
      <c r="J88" s="77"/>
      <c r="K88" s="78" t="s">
        <v>17</v>
      </c>
      <c r="L88" s="78"/>
      <c r="M88" s="78"/>
      <c r="N88" s="51" t="s">
        <v>16</v>
      </c>
    </row>
    <row r="89" spans="2:45" x14ac:dyDescent="0.25">
      <c r="B89" s="118"/>
      <c r="C89" s="119"/>
      <c r="D89" s="120"/>
      <c r="E89" s="46" t="s">
        <v>7</v>
      </c>
      <c r="F89" s="46" t="s">
        <v>0</v>
      </c>
      <c r="G89" s="46" t="s">
        <v>15</v>
      </c>
      <c r="H89" s="110" t="s">
        <v>14</v>
      </c>
      <c r="I89" s="111"/>
      <c r="J89" s="77"/>
      <c r="K89" s="78" t="s">
        <v>13</v>
      </c>
      <c r="L89" s="78"/>
      <c r="M89" s="78"/>
      <c r="N89" s="51" t="s">
        <v>12</v>
      </c>
    </row>
    <row r="90" spans="2:45" ht="17.399999999999999" customHeight="1" x14ac:dyDescent="0.25">
      <c r="B90" s="115" t="s">
        <v>78</v>
      </c>
      <c r="C90" s="116"/>
      <c r="D90" s="117"/>
      <c r="E90" s="46" t="s">
        <v>7</v>
      </c>
      <c r="F90" s="46" t="s">
        <v>2</v>
      </c>
      <c r="G90" s="46" t="s">
        <v>11</v>
      </c>
      <c r="H90" s="110" t="s">
        <v>10</v>
      </c>
      <c r="I90" s="111"/>
      <c r="J90" s="77"/>
      <c r="K90" s="78" t="s">
        <v>9</v>
      </c>
      <c r="L90" s="78"/>
      <c r="M90" s="78"/>
      <c r="N90" s="51" t="s">
        <v>8</v>
      </c>
    </row>
    <row r="91" spans="2:45" x14ac:dyDescent="0.25">
      <c r="B91" s="118"/>
      <c r="C91" s="119"/>
      <c r="D91" s="120"/>
      <c r="E91" s="46" t="s">
        <v>7</v>
      </c>
      <c r="F91" s="46" t="s">
        <v>0</v>
      </c>
      <c r="G91" s="46" t="s">
        <v>6</v>
      </c>
      <c r="H91" s="110" t="s">
        <v>5</v>
      </c>
      <c r="I91" s="111"/>
      <c r="J91" s="77"/>
      <c r="K91" s="78" t="s">
        <v>4</v>
      </c>
      <c r="L91" s="78"/>
      <c r="M91" s="78"/>
      <c r="N91" s="51" t="s">
        <v>3</v>
      </c>
    </row>
    <row r="92" spans="2:45" ht="17.399999999999999" customHeight="1" x14ac:dyDescent="0.25">
      <c r="B92" s="115" t="s">
        <v>79</v>
      </c>
      <c r="C92" s="116"/>
      <c r="D92" s="117"/>
      <c r="E92" s="46" t="s">
        <v>1</v>
      </c>
      <c r="F92" s="46" t="s">
        <v>2</v>
      </c>
      <c r="G92" s="52">
        <v>17</v>
      </c>
      <c r="H92" s="132">
        <v>22.2</v>
      </c>
      <c r="I92" s="133"/>
      <c r="J92" s="134"/>
      <c r="K92" s="103">
        <v>27.7</v>
      </c>
      <c r="L92" s="103"/>
      <c r="M92" s="103"/>
      <c r="N92" s="53">
        <v>38.299999999999997</v>
      </c>
    </row>
    <row r="93" spans="2:45" x14ac:dyDescent="0.25">
      <c r="B93" s="118"/>
      <c r="C93" s="119"/>
      <c r="D93" s="120"/>
      <c r="E93" s="46" t="s">
        <v>1</v>
      </c>
      <c r="F93" s="46" t="s">
        <v>0</v>
      </c>
      <c r="G93" s="52">
        <v>2.2999999999999998</v>
      </c>
      <c r="H93" s="132">
        <v>3.4</v>
      </c>
      <c r="I93" s="133"/>
      <c r="J93" s="134"/>
      <c r="K93" s="103">
        <v>5.2</v>
      </c>
      <c r="L93" s="103"/>
      <c r="M93" s="103"/>
      <c r="N93" s="53">
        <v>7.8</v>
      </c>
    </row>
    <row r="94" spans="2:45" ht="17.399999999999999" customHeight="1" x14ac:dyDescent="0.25">
      <c r="B94" s="115" t="s">
        <v>80</v>
      </c>
      <c r="C94" s="116"/>
      <c r="D94" s="117"/>
      <c r="E94" s="46" t="s">
        <v>1</v>
      </c>
      <c r="F94" s="46" t="s">
        <v>2</v>
      </c>
      <c r="G94" s="24">
        <v>19.600000000000001</v>
      </c>
      <c r="H94" s="132">
        <v>25</v>
      </c>
      <c r="I94" s="133"/>
      <c r="J94" s="134"/>
      <c r="K94" s="103">
        <v>31.2</v>
      </c>
      <c r="L94" s="103"/>
      <c r="M94" s="103"/>
      <c r="N94" s="53">
        <v>42.9</v>
      </c>
    </row>
    <row r="95" spans="2:45" x14ac:dyDescent="0.25">
      <c r="B95" s="118"/>
      <c r="C95" s="119"/>
      <c r="D95" s="120"/>
      <c r="E95" s="46" t="s">
        <v>1</v>
      </c>
      <c r="F95" s="46" t="s">
        <v>0</v>
      </c>
      <c r="G95" s="52">
        <v>3.4</v>
      </c>
      <c r="H95" s="132">
        <v>4.9000000000000004</v>
      </c>
      <c r="I95" s="133"/>
      <c r="J95" s="134"/>
      <c r="K95" s="103">
        <v>7.2</v>
      </c>
      <c r="L95" s="103"/>
      <c r="M95" s="103"/>
      <c r="N95" s="53">
        <v>10.5</v>
      </c>
    </row>
    <row r="96" spans="2:45" x14ac:dyDescent="0.25">
      <c r="B96" s="55"/>
      <c r="C96" s="54"/>
      <c r="D96" s="54"/>
      <c r="E96" s="56"/>
      <c r="F96" s="56"/>
      <c r="G96" s="56"/>
      <c r="H96" s="56"/>
      <c r="I96" s="56"/>
      <c r="J96" s="56"/>
      <c r="K96" s="56"/>
      <c r="L96" s="56"/>
      <c r="M96" s="56"/>
      <c r="N96" s="56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P96" s="59"/>
      <c r="AS96" s="12"/>
    </row>
    <row r="98" spans="2:2" x14ac:dyDescent="0.25">
      <c r="B98"/>
    </row>
    <row r="99" spans="2:2" x14ac:dyDescent="0.25">
      <c r="B99"/>
    </row>
    <row r="100" spans="2:2" x14ac:dyDescent="0.25">
      <c r="B100"/>
    </row>
    <row r="101" spans="2:2" x14ac:dyDescent="0.25">
      <c r="B101"/>
    </row>
  </sheetData>
  <sheetProtection algorithmName="SHA-512" hashValue="foEn1uHH6vhaGhRO/kBMz8bmXOSlmMYIPRBDVzBa4JuDCnh0SHvrIgph0QPxcC2b0e144nR4MRkjh01BLsFhdA==" saltValue="zy0pVV1Lx14tOm+rzscYUg==" spinCount="100000" sheet="1" objects="1" scenarios="1"/>
  <mergeCells count="120">
    <mergeCell ref="B94:D95"/>
    <mergeCell ref="B92:D93"/>
    <mergeCell ref="B90:D91"/>
    <mergeCell ref="B88:D89"/>
    <mergeCell ref="H95:J95"/>
    <mergeCell ref="K95:M95"/>
    <mergeCell ref="H93:J93"/>
    <mergeCell ref="K93:M93"/>
    <mergeCell ref="H94:J94"/>
    <mergeCell ref="K94:M94"/>
    <mergeCell ref="H91:J91"/>
    <mergeCell ref="K91:M91"/>
    <mergeCell ref="H92:J92"/>
    <mergeCell ref="K92:M92"/>
    <mergeCell ref="H89:J89"/>
    <mergeCell ref="K89:M89"/>
    <mergeCell ref="H90:J90"/>
    <mergeCell ref="K90:M90"/>
    <mergeCell ref="B80:F80"/>
    <mergeCell ref="G80:N80"/>
    <mergeCell ref="B81:F81"/>
    <mergeCell ref="G81:N81"/>
    <mergeCell ref="H88:J88"/>
    <mergeCell ref="K88:M88"/>
    <mergeCell ref="B83:F83"/>
    <mergeCell ref="G83:N83"/>
    <mergeCell ref="B84:F84"/>
    <mergeCell ref="G84:N84"/>
    <mergeCell ref="B85:F85"/>
    <mergeCell ref="G85:N85"/>
    <mergeCell ref="B86:D86"/>
    <mergeCell ref="B87:F87"/>
    <mergeCell ref="G87:N87"/>
    <mergeCell ref="B82:F82"/>
    <mergeCell ref="G82:N82"/>
    <mergeCell ref="G86:N86"/>
    <mergeCell ref="B79:D79"/>
    <mergeCell ref="G79:N79"/>
    <mergeCell ref="B70:D70"/>
    <mergeCell ref="B71:D71"/>
    <mergeCell ref="E72:E74"/>
    <mergeCell ref="B77:D78"/>
    <mergeCell ref="B75:D76"/>
    <mergeCell ref="B72:D74"/>
    <mergeCell ref="B63:D65"/>
    <mergeCell ref="B66:D68"/>
    <mergeCell ref="B69:F69"/>
    <mergeCell ref="G69:N69"/>
    <mergeCell ref="E50:G50"/>
    <mergeCell ref="H50:J50"/>
    <mergeCell ref="K50:M50"/>
    <mergeCell ref="E63:E65"/>
    <mergeCell ref="E66:E68"/>
    <mergeCell ref="B47:B48"/>
    <mergeCell ref="E47:G47"/>
    <mergeCell ref="H47:J47"/>
    <mergeCell ref="K47:M47"/>
    <mergeCell ref="E48:G48"/>
    <mergeCell ref="H48:J48"/>
    <mergeCell ref="K48:M48"/>
    <mergeCell ref="B49:B50"/>
    <mergeCell ref="B56:F56"/>
    <mergeCell ref="B57:D59"/>
    <mergeCell ref="B60:D62"/>
    <mergeCell ref="E57:E59"/>
    <mergeCell ref="E60:E62"/>
    <mergeCell ref="G54:H54"/>
    <mergeCell ref="I54:J54"/>
    <mergeCell ref="B45:B46"/>
    <mergeCell ref="E45:G45"/>
    <mergeCell ref="H45:J45"/>
    <mergeCell ref="K45:M45"/>
    <mergeCell ref="E46:G46"/>
    <mergeCell ref="H46:J46"/>
    <mergeCell ref="K46:M46"/>
    <mergeCell ref="E49:G49"/>
    <mergeCell ref="H49:J49"/>
    <mergeCell ref="K49:M49"/>
    <mergeCell ref="B40:D40"/>
    <mergeCell ref="E40:N40"/>
    <mergeCell ref="B37:D37"/>
    <mergeCell ref="E37:N37"/>
    <mergeCell ref="B38:D38"/>
    <mergeCell ref="E41:N41"/>
    <mergeCell ref="B42:D42"/>
    <mergeCell ref="E42:N42"/>
    <mergeCell ref="B43:B44"/>
    <mergeCell ref="E43:G43"/>
    <mergeCell ref="H43:J43"/>
    <mergeCell ref="K43:M43"/>
    <mergeCell ref="E44:G44"/>
    <mergeCell ref="H44:J44"/>
    <mergeCell ref="K44:M44"/>
    <mergeCell ref="E38:N38"/>
    <mergeCell ref="B39:D39"/>
    <mergeCell ref="E39:N39"/>
    <mergeCell ref="B36:D36"/>
    <mergeCell ref="E36:N36"/>
    <mergeCell ref="G6:J7"/>
    <mergeCell ref="G8:J8"/>
    <mergeCell ref="C13:C15"/>
    <mergeCell ref="B25:D25"/>
    <mergeCell ref="E25:N25"/>
    <mergeCell ref="B28:B30"/>
    <mergeCell ref="B16:B18"/>
    <mergeCell ref="B19:B21"/>
    <mergeCell ref="B22:B24"/>
    <mergeCell ref="C28:C30"/>
    <mergeCell ref="B12:D12"/>
    <mergeCell ref="B13:B15"/>
    <mergeCell ref="C16:C18"/>
    <mergeCell ref="C19:C21"/>
    <mergeCell ref="C22:C24"/>
    <mergeCell ref="E34:N34"/>
    <mergeCell ref="B35:D35"/>
    <mergeCell ref="E35:N35"/>
    <mergeCell ref="B32:B33"/>
    <mergeCell ref="C32:C33"/>
    <mergeCell ref="G10:H10"/>
    <mergeCell ref="I10:J10"/>
  </mergeCells>
  <conditionalFormatting sqref="E16:N21 G60:N65">
    <cfRule type="cellIs" dxfId="3" priority="9" operator="between">
      <formula>$W$5</formula>
      <formula>$W$6</formula>
    </cfRule>
  </conditionalFormatting>
  <conditionalFormatting sqref="E22:N24 G66:N68">
    <cfRule type="cellIs" dxfId="2" priority="11" operator="between">
      <formula>$W$5</formula>
      <formula>$W$6</formula>
    </cfRule>
  </conditionalFormatting>
  <dataValidations count="6">
    <dataValidation type="custom" allowBlank="1" showErrorMessage="1" errorTitle="Netinkama reikšmė" error="Įeinančio vandens temperatūra: 3-14 °C (vėsinimas) arba 30-70 °C (šildymas)." sqref="N3">
      <formula1>OR(AND(N3&gt;=3,N3&lt;=14),AND(N3&gt;=30,N3&lt;=70))</formula1>
    </dataValidation>
    <dataValidation type="custom" allowBlank="1" showErrorMessage="1" errorStyle="warning" errorTitle="Vandens ΔT" error="Rekomenduojamas vandens ΔT (įeinančio ir išeinančio skirtumas) yra 3-8 K. Už šių ribų skaičiavimo tikslumas mažesnis." sqref="N4">
      <formula1>AND(ABS(N3-N4)&gt;=3,ABS(N3-N4)&lt;=8)</formula1>
    </dataValidation>
    <dataValidation type="decimal" allowBlank="1" showErrorMessage="1" errorTitle="Netinkama reikšmė" error="Patalpos temperatūra: 16-32 °C." sqref="N5">
      <formula1>16</formula1>
      <formula2>32</formula2>
    </dataValidation>
    <dataValidation type="decimal" allowBlank="1" showErrorMessage="1" errorTitle="Netinkama reikšmė" error="Patalpos santykinė drėgmė: 30-80 %." sqref="N6">
      <formula1>30</formula1>
      <formula2>80</formula2>
    </dataValidation>
    <dataValidation type="decimal" allowBlank="1" showErrorMessage="1" operator="greaterThan" errorTitle="Netinkama reikšmė" error="Įveskite galią, didesnę nei 0 W." sqref="N8">
      <formula1>0</formula1>
    </dataValidation>
    <dataValidation type="decimal" allowBlank="1" showErrorMessage="1" errorTitle="Netinkama reikšmė" error="Įveskite reikšmę nuo 0 iki 100 %." sqref="N9 N10">
      <formula1>0</formula1>
      <formula2>1</formula2>
    </dataValidation>
  </dataValidations>
  <printOptions horizontalCentered="1"/>
  <pageMargins left="0.9055118110236221" right="0.39370078740157483" top="0.35433070866141736" bottom="0" header="0.31496062992125984" footer="0.31496062992125984"/>
  <pageSetup scale="47" orientation="portrait" r:id="rId1"/>
  <ignoredErrors>
    <ignoredError sqref="E17:N27 E12:N12 G56:N56 E16:F16 E31 F31:N31 G76:M76 N76 G75:N75 G60:N71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7EE4A-B754-4E6C-B384-3E3FB12D0D65}">
  <dimension ref="B1:AS101"/>
  <sheetViews>
    <sheetView showGridLines="0" zoomScale="70" zoomScaleNormal="70" workbookViewId="0">
      <selection activeCell="M3" sqref="M3"/>
    </sheetView>
  </sheetViews>
  <sheetFormatPr defaultColWidth="8.77734375" defaultRowHeight="17.399999999999999" x14ac:dyDescent="0.25"/>
  <cols>
    <col min="1" max="1" width="5.44140625" style="6" customWidth="1"/>
    <col min="2" max="2" width="32.77734375" style="6" bestFit="1" customWidth="1"/>
    <col min="3" max="3" width="7.109375" style="6" bestFit="1" customWidth="1"/>
    <col min="4" max="4" width="9.109375" style="6" customWidth="1"/>
    <col min="5" max="13" width="16.33203125" style="58" customWidth="1"/>
    <col min="14" max="18" width="8.77734375" style="6"/>
    <col min="19" max="19" width="8.77734375" style="6" customWidth="1"/>
    <col min="20" max="22" width="8.77734375" style="6" hidden="1" customWidth="1"/>
    <col min="23" max="24" width="0" style="6" hidden="1" customWidth="1"/>
    <col min="25" max="41" width="8.77734375" style="6"/>
    <col min="42" max="42" width="8.77734375" style="12"/>
    <col min="43" max="43" width="8.77734375" style="6"/>
    <col min="44" max="45" width="8.77734375" style="6" customWidth="1"/>
    <col min="46" max="16384" width="8.77734375" style="6"/>
  </cols>
  <sheetData>
    <row r="1" spans="2:45" s="1" customFormat="1" x14ac:dyDescent="0.25">
      <c r="E1" s="2"/>
      <c r="F1" s="2"/>
      <c r="G1" s="2"/>
      <c r="H1" s="2"/>
      <c r="I1" s="2"/>
      <c r="J1" s="2"/>
      <c r="K1" s="2"/>
      <c r="L1" s="2"/>
      <c r="M1" s="2"/>
      <c r="AP1" s="3"/>
    </row>
    <row r="2" spans="2:45" s="1" customFormat="1" x14ac:dyDescent="0.25">
      <c r="D2" s="4"/>
      <c r="E2" s="2"/>
      <c r="F2" s="2"/>
      <c r="G2" s="2"/>
      <c r="H2" s="2"/>
      <c r="I2" s="2"/>
      <c r="J2" s="2"/>
      <c r="K2" s="2"/>
      <c r="L2" s="2"/>
      <c r="M2" s="2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6"/>
      <c r="AQ2" s="7"/>
    </row>
    <row r="3" spans="2:45" s="1" customFormat="1" x14ac:dyDescent="0.25">
      <c r="D3" s="8"/>
      <c r="E3" s="2"/>
      <c r="F3" s="2"/>
      <c r="G3" s="2"/>
      <c r="H3" s="2"/>
      <c r="I3" s="2"/>
      <c r="J3" s="2"/>
      <c r="K3" s="2"/>
      <c r="L3" s="10" t="s">
        <v>57</v>
      </c>
      <c r="M3" s="73">
        <v>7</v>
      </c>
      <c r="N3" s="5"/>
      <c r="S3" s="5"/>
      <c r="T3" s="5"/>
      <c r="U3" s="5" t="s">
        <v>56</v>
      </c>
      <c r="V3" s="11">
        <f>M3-M4</f>
      </c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6"/>
      <c r="AQ3" s="6"/>
    </row>
    <row r="4" spans="2:45" s="1" customFormat="1" x14ac:dyDescent="0.25">
      <c r="D4" s="8"/>
      <c r="E4" s="2"/>
      <c r="F4" s="2"/>
      <c r="G4" s="2"/>
      <c r="H4" s="2"/>
      <c r="I4" s="2"/>
      <c r="J4" s="2"/>
      <c r="K4" s="2"/>
      <c r="L4" s="10" t="s">
        <v>55</v>
      </c>
      <c r="M4" s="73">
        <v>12</v>
      </c>
      <c r="N4" s="5"/>
      <c r="S4" s="5"/>
      <c r="T4" s="5"/>
      <c r="U4" s="5" t="s">
        <v>54</v>
      </c>
      <c r="V4" s="11">
        <f>IF((M5-(M4+M3)/2)&lt;0, 0-(M5-(M4+M3)/2),(M5-(M4+M3)/2))</f>
      </c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6"/>
      <c r="AQ4" s="6"/>
    </row>
    <row r="5" spans="2:45" s="1" customFormat="1" x14ac:dyDescent="0.25">
      <c r="D5" s="8"/>
      <c r="E5" s="2"/>
      <c r="F5" s="2"/>
      <c r="G5" s="2"/>
      <c r="H5" s="2"/>
      <c r="I5" s="2"/>
      <c r="J5" s="2"/>
      <c r="K5" s="2"/>
      <c r="L5" s="10" t="s">
        <v>53</v>
      </c>
      <c r="M5" s="73">
        <v>27</v>
      </c>
      <c r="N5" s="5"/>
      <c r="S5" s="5"/>
      <c r="T5" s="5"/>
      <c r="U5" s="6"/>
      <c r="V5" s="12">
        <f>IF(M8*(1-$M$10)=0,0.00001,M8*(1-$M$10))</f>
      </c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6"/>
      <c r="AQ5" s="6"/>
    </row>
    <row r="6" spans="2:45" s="1" customFormat="1" ht="17.399999999999999" customHeight="1" x14ac:dyDescent="0.25">
      <c r="D6" s="8"/>
      <c r="E6" s="13"/>
      <c r="F6" s="2"/>
      <c r="G6" s="79" t="s">
        <v>65</v>
      </c>
      <c r="H6" s="79"/>
      <c r="I6" s="79"/>
      <c r="J6" s="79"/>
      <c r="K6" s="14"/>
      <c r="L6" s="10" t="s">
        <v>84</v>
      </c>
      <c r="M6" s="73">
        <v>47</v>
      </c>
      <c r="N6" s="5"/>
      <c r="S6" s="5"/>
      <c r="T6" s="5"/>
      <c r="U6" s="6"/>
      <c r="V6" s="12">
        <f>IF(M8*(1+$M$9)=0,0.00001,M8*(1+$M$9))</f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6"/>
      <c r="AQ6" s="6"/>
    </row>
    <row r="7" spans="2:45" s="1" customFormat="1" ht="17.399999999999999" customHeight="1" x14ac:dyDescent="0.25">
      <c r="D7" s="8"/>
      <c r="E7" s="13"/>
      <c r="F7" s="14"/>
      <c r="G7" s="79"/>
      <c r="H7" s="79"/>
      <c r="I7" s="79"/>
      <c r="J7" s="79"/>
      <c r="K7" s="14"/>
      <c r="N7" s="5"/>
      <c r="O7" s="5"/>
      <c r="P7" s="5"/>
      <c r="Q7" s="5"/>
      <c r="R7" s="5"/>
      <c r="S7" s="5"/>
      <c r="T7" s="5"/>
      <c r="U7" s="5" t="s">
        <v>85</v>
      </c>
      <c r="V7" s="11">
        <f>MAX(0,0.622*($M$6/100*0.61078*EXP(17.27*$M$5/($M$5+237.3)))/(101.325-$M$6/100*0.61078*EXP(17.27*$M$5/($M$5+237.3)))-0.622*0.61078*EXP(17.27*(($M$3+$M$4)/2+3.1)/((($M$3+$M$4)/2+3.1)+237.3))/(101.325-0.61078*EXP(17.27*(($M$3+$M$4)/2+3.1)/((($M$3+$M$4)/2+3.1)+237.3))))</f>
      </c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6"/>
      <c r="AQ7" s="6"/>
      <c r="AR7" s="6"/>
    </row>
    <row r="8" spans="2:45" s="1" customFormat="1" ht="17.399999999999999" customHeight="1" x14ac:dyDescent="0.25">
      <c r="D8" s="8"/>
      <c r="E8" s="13"/>
      <c r="F8" s="2"/>
      <c r="G8" s="80" t="s">
        <v>52</v>
      </c>
      <c r="H8" s="80"/>
      <c r="I8" s="80"/>
      <c r="J8" s="80"/>
      <c r="K8" s="15"/>
      <c r="L8" s="10" t="s">
        <v>66</v>
      </c>
      <c r="M8" s="74">
        <v>2500</v>
      </c>
      <c r="N8" s="5"/>
      <c r="O8" s="5"/>
      <c r="P8" s="5"/>
      <c r="Q8" s="5"/>
      <c r="R8" s="5"/>
      <c r="S8" s="5"/>
      <c r="T8" s="5"/>
      <c r="U8" s="5" t="s">
        <v>86</v>
      </c>
      <c r="V8" s="11">
        <f>MAX(0,0.622*($M$6/100*0.61078*EXP(17.27*$M$5/($M$5+237.3)))/(101.325-$M$6/100*0.61078*EXP(17.27*$M$5/($M$5+237.3)))-0.622*0.61078*EXP(17.27*(($M$3+$M$4)/2+3.7)/((($M$3+$M$4)/2+3.7)+237.3))/(101.325-0.61078*EXP(17.27*(($M$3+$M$4)/2+3.7)/((($M$3+$M$4)/2+3.7)+237.3))))</f>
      </c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6"/>
      <c r="AS8" s="6"/>
    </row>
    <row r="9" spans="2:45" s="1" customFormat="1" ht="17.399999999999999" customHeight="1" thickBot="1" x14ac:dyDescent="0.3">
      <c r="D9" s="8"/>
      <c r="E9" s="13"/>
      <c r="F9" s="2"/>
      <c r="G9" s="2"/>
      <c r="H9" s="2"/>
      <c r="I9" s="2"/>
      <c r="J9" s="15"/>
      <c r="K9" s="15"/>
      <c r="L9" s="10" t="s">
        <v>51</v>
      </c>
      <c r="M9" s="75">
        <v>0.2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6"/>
      <c r="AQ9" s="6"/>
      <c r="AR9" s="6"/>
      <c r="AS9" s="6"/>
    </row>
    <row r="10" spans="2:45" s="1" customFormat="1" ht="17.399999999999999" customHeight="1" thickBot="1" x14ac:dyDescent="0.3">
      <c r="D10" s="8"/>
      <c r="E10" s="2"/>
      <c r="F10" s="2"/>
      <c r="G10" s="99" t="s">
        <v>63</v>
      </c>
      <c r="H10" s="99"/>
      <c r="I10" s="99" t="s">
        <v>62</v>
      </c>
      <c r="J10" s="99"/>
      <c r="K10" s="2"/>
      <c r="L10" s="10" t="s">
        <v>50</v>
      </c>
      <c r="M10" s="75">
        <v>0.02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6"/>
      <c r="AQ10" s="6"/>
      <c r="AR10" s="6"/>
      <c r="AS10" s="6"/>
    </row>
    <row r="11" spans="2:45" s="1" customFormat="1" x14ac:dyDescent="0.25">
      <c r="D11" s="8"/>
      <c r="E11" s="13"/>
      <c r="F11" s="13"/>
      <c r="G11" s="13"/>
      <c r="H11" s="13"/>
      <c r="I11" s="13"/>
      <c r="J11" s="13"/>
      <c r="K11" s="13"/>
      <c r="L11" s="13"/>
      <c r="M11" s="4"/>
      <c r="AP11" s="3"/>
    </row>
    <row r="12" spans="2:45" s="12" customFormat="1" ht="18" thickBot="1" x14ac:dyDescent="0.3">
      <c r="B12" s="94" t="s">
        <v>48</v>
      </c>
      <c r="C12" s="94"/>
      <c r="D12" s="94"/>
      <c r="E12" s="17" t="str">
        <f t="shared" ref="E12:M12" si="0">"CF2"&amp;"-"&amp;E13/10&amp;"-EC"</f>
      </c>
      <c r="F12" s="17" t="str">
        <f t="shared" si="0"/>
        <v>CF2-51-EC</v>
      </c>
      <c r="G12" s="17" t="str">
        <f t="shared" si="0"/>
        <v>CF2-68-EC</v>
      </c>
      <c r="H12" s="17" t="str">
        <f t="shared" si="0"/>
        <v>CF2-85-EC</v>
      </c>
      <c r="I12" s="17" t="str">
        <f t="shared" si="0"/>
        <v>CF2-102-EC</v>
      </c>
      <c r="J12" s="17" t="str">
        <f t="shared" si="0"/>
        <v>CF2-136-EC</v>
      </c>
      <c r="K12" s="17" t="str">
        <f t="shared" si="0"/>
        <v>CF2-170-EC</v>
      </c>
      <c r="L12" s="17" t="str">
        <f t="shared" si="0"/>
        <v>CF2-204-EC</v>
      </c>
      <c r="M12" s="17" t="str">
        <f t="shared" si="0"/>
        <v>CF2-238-EC</v>
      </c>
    </row>
    <row r="13" spans="2:45" ht="17.399999999999999" customHeight="1" x14ac:dyDescent="0.25">
      <c r="B13" s="91" t="s">
        <v>67</v>
      </c>
      <c r="C13" s="81" t="s">
        <v>46</v>
      </c>
      <c r="D13" s="18" t="s">
        <v>41</v>
      </c>
      <c r="E13" s="19">
        <v>340</v>
      </c>
      <c r="F13" s="20">
        <v>510</v>
      </c>
      <c r="G13" s="19">
        <v>680</v>
      </c>
      <c r="H13" s="20">
        <v>850</v>
      </c>
      <c r="I13" s="19">
        <v>1020</v>
      </c>
      <c r="J13" s="20">
        <v>1360</v>
      </c>
      <c r="K13" s="19">
        <v>1700</v>
      </c>
      <c r="L13" s="20">
        <v>2040</v>
      </c>
      <c r="M13" s="67">
        <v>2380</v>
      </c>
    </row>
    <row r="14" spans="2:45" x14ac:dyDescent="0.25">
      <c r="B14" s="92"/>
      <c r="C14" s="82"/>
      <c r="D14" s="22" t="s">
        <v>40</v>
      </c>
      <c r="E14" s="23">
        <v>255</v>
      </c>
      <c r="F14" s="24">
        <v>383</v>
      </c>
      <c r="G14" s="23">
        <v>510</v>
      </c>
      <c r="H14" s="24">
        <v>638</v>
      </c>
      <c r="I14" s="23">
        <v>765</v>
      </c>
      <c r="J14" s="24">
        <v>1020</v>
      </c>
      <c r="K14" s="23">
        <v>1275</v>
      </c>
      <c r="L14" s="24">
        <v>1530</v>
      </c>
      <c r="M14" s="68">
        <v>1785</v>
      </c>
    </row>
    <row r="15" spans="2:45" ht="18" thickBot="1" x14ac:dyDescent="0.3">
      <c r="B15" s="93"/>
      <c r="C15" s="83"/>
      <c r="D15" s="26" t="s">
        <v>39</v>
      </c>
      <c r="E15" s="27">
        <v>170</v>
      </c>
      <c r="F15" s="28">
        <v>255</v>
      </c>
      <c r="G15" s="27">
        <v>340</v>
      </c>
      <c r="H15" s="28">
        <v>425</v>
      </c>
      <c r="I15" s="27">
        <v>510</v>
      </c>
      <c r="J15" s="28">
        <v>680</v>
      </c>
      <c r="K15" s="27">
        <v>850</v>
      </c>
      <c r="L15" s="28">
        <v>1020</v>
      </c>
      <c r="M15" s="69">
        <v>1190</v>
      </c>
    </row>
    <row r="16" spans="2:45" ht="17.399999999999999" customHeight="1" x14ac:dyDescent="0.25">
      <c r="B16" s="91" t="s">
        <v>81</v>
      </c>
      <c r="C16" s="81" t="s">
        <v>44</v>
      </c>
      <c r="D16" s="18" t="s">
        <v>41</v>
      </c>
      <c r="E16" s="30">
        <f>IF($V$3&lt;0,IF(OR($M$3&lt;3,$M$3&gt;14),"Vandens t. 3-14°C",92.1*$V$4-252.3+219294*$V$7),"")</f>
      </c>
      <c r="F16" s="31">
        <f>IF($V$3&lt;0,IF(OR($M$3&lt;3,$M$3&gt;14),"Vandens t. 3-14°C",139.6*$V$4-343.2+299038*$V$7),"")</f>
      </c>
      <c r="G16" s="30">
        <f>IF($V$3&lt;0,IF(OR($M$3&lt;3,$M$3&gt;14),"Vandens t. 3-14°C",187.5*$V$4-490.7+403701*$V$7),"")</f>
      </c>
      <c r="H16" s="31">
        <f>IF($V$3&lt;0,IF(OR($M$3&lt;3,$M$3&gt;14),"Vandens t. 3-14°C",222.3*$V$4-519.5+563188*$V$7),"")</f>
      </c>
      <c r="I16" s="30">
        <f>IF($V$3&lt;0,IF(OR($M$3&lt;3,$M$3&gt;14),"Vandens t. 3-14°C",267.1*$V$4-583.4+652899*$V$7),"")</f>
      </c>
      <c r="J16" s="31">
        <f>IF($V$3&lt;0,IF(OR($M$3&lt;3,$M$3&gt;14),"Vandens t. 3-14°C",373*$V$4-826.9+747595*$V$7),"")</f>
      </c>
      <c r="K16" s="30">
        <f>IF($V$3&lt;0,IF(OR($M$3&lt;3,$M$3&gt;14),"Vandens t. 3-14°C",437*$V$4-868.1+1106440*$V$7),"")</f>
      </c>
      <c r="L16" s="31">
        <f>IF($V$3&lt;0,IF(OR($M$3&lt;3,$M$3&gt;14),"Vandens t. 3-14°C",534*$V$4-1105.8+1275895*$V$7),"")</f>
      </c>
      <c r="M16" s="70">
        <f>IF($V$3&lt;0,IF(OR($M$3&lt;3,$M$3&gt;14),"Vandens t. 3-14°C",601.4*$V$4-1204.2+1634741*$V$7),"")</f>
      </c>
    </row>
    <row r="17" spans="2:42" x14ac:dyDescent="0.25">
      <c r="B17" s="92"/>
      <c r="C17" s="82"/>
      <c r="D17" s="22" t="s">
        <v>40</v>
      </c>
      <c r="E17" s="33">
        <f>IFERROR(ROUND(E16*0.8,0),"")</f>
      </c>
      <c r="F17" s="34">
        <f>IFERROR(ROUND(F16*0.8,0),"")</f>
      </c>
      <c r="G17" s="33">
        <f>IFERROR(ROUND(G16*0.8,0),"")</f>
      </c>
      <c r="H17" s="34">
        <f>IFERROR(ROUND(H16*0.8,0),"")</f>
      </c>
      <c r="I17" s="33">
        <f>IFERROR(ROUND(I16*0.8,0),"")</f>
      </c>
      <c r="J17" s="34">
        <f>IFERROR(ROUND(J16*0.8,0),"")</f>
      </c>
      <c r="K17" s="33">
        <f>IFERROR(ROUND(K16*0.8,0),"")</f>
      </c>
      <c r="L17" s="34">
        <f>IFERROR(ROUND(L16*0.8,0),"")</f>
      </c>
      <c r="M17" s="71">
        <f>IFERROR(ROUND(M16*0.8,0),"")</f>
      </c>
    </row>
    <row r="18" spans="2:42" ht="18" thickBot="1" x14ac:dyDescent="0.3">
      <c r="B18" s="93"/>
      <c r="C18" s="83"/>
      <c r="D18" s="26" t="s">
        <v>39</v>
      </c>
      <c r="E18" s="36">
        <f>IFERROR(ROUND(E16*0.6,0),"")</f>
      </c>
      <c r="F18" s="37">
        <f>IFERROR(ROUND(F16*0.6,0),"")</f>
      </c>
      <c r="G18" s="36">
        <f>IFERROR(ROUND(G16*0.6,0),"")</f>
      </c>
      <c r="H18" s="37">
        <f>IFERROR(ROUND(H16*0.6,0),"")</f>
      </c>
      <c r="I18" s="36">
        <f>IFERROR(ROUND(I16*0.6,0),"")</f>
      </c>
      <c r="J18" s="37">
        <f>IFERROR(ROUND(J16*0.6,0),"")</f>
      </c>
      <c r="K18" s="36">
        <f>IFERROR(ROUND(K16*0.6,0),"")</f>
      </c>
      <c r="L18" s="37">
        <f>IFERROR(ROUND(L16*0.6,0),"")</f>
      </c>
      <c r="M18" s="72">
        <f>IFERROR(ROUND(M16*0.6,0),"")</f>
      </c>
    </row>
    <row r="19" spans="2:42" x14ac:dyDescent="0.25">
      <c r="B19" s="91" t="s">
        <v>82</v>
      </c>
      <c r="C19" s="81" t="s">
        <v>44</v>
      </c>
      <c r="D19" s="18" t="s">
        <v>41</v>
      </c>
      <c r="E19" s="30">
        <f>IF($V$3&lt;0,IF(OR($M$3&lt;3,$M$3&gt;14),"Vandens t. 3-14°C",92.1*$V$4-252.3),"")</f>
      </c>
      <c r="F19" s="31">
        <f>IF($V$3&lt;0,IF(OR($M$3&lt;3,$M$3&gt;14),"Vandens t. 3-14°C",139.6*$V$4-343.2),"")</f>
      </c>
      <c r="G19" s="30">
        <f>IF($V$3&lt;0,IF(OR($M$3&lt;3,$M$3&gt;14),"Vandens t. 3-14°C",187.5*$V$4-490.7),"")</f>
      </c>
      <c r="H19" s="31">
        <f>IF($V$3&lt;0,IF(OR($M$3&lt;3,$M$3&gt;14),"Vandens t. 3-14°C",222.3*$V$4-519.5),"")</f>
      </c>
      <c r="I19" s="30">
        <f>IF($V$3&lt;0,IF(OR($M$3&lt;3,$M$3&gt;14),"Vandens t. 3-14°C",267.1*$V$4-583.4),"")</f>
      </c>
      <c r="J19" s="31">
        <f>IF($V$3&lt;0,IF(OR($M$3&lt;3,$M$3&gt;14),"Vandens t. 3-14°C",373*$V$4-826.9),"")</f>
      </c>
      <c r="K19" s="30">
        <f>IF($V$3&lt;0,IF(OR($M$3&lt;3,$M$3&gt;14),"Vandens t. 3-14°C",437*$V$4-868.1),"")</f>
      </c>
      <c r="L19" s="31">
        <f>IF($V$3&lt;0,IF(OR($M$3&lt;3,$M$3&gt;14),"Vandens t. 3-14°C",534*$V$4-1105.8),"")</f>
      </c>
      <c r="M19" s="70">
        <f>IF($V$3&lt;0,IF(OR($M$3&lt;3,$M$3&gt;14),"Vandens t. 3-14°C",601.4*$V$4-1204.2),"")</f>
      </c>
    </row>
    <row r="20" spans="2:42" x14ac:dyDescent="0.25">
      <c r="B20" s="92"/>
      <c r="C20" s="82"/>
      <c r="D20" s="22" t="s">
        <v>40</v>
      </c>
      <c r="E20" s="33">
        <f>IFERROR(ROUND(E19*0.8,0),"")</f>
      </c>
      <c r="F20" s="34">
        <f>IFERROR(ROUND(F19*0.8,0),"")</f>
      </c>
      <c r="G20" s="33">
        <f>IFERROR(ROUND(G19*0.8,0),"")</f>
      </c>
      <c r="H20" s="34">
        <f>IFERROR(ROUND(H19*0.8,0),"")</f>
      </c>
      <c r="I20" s="33">
        <f>IFERROR(ROUND(I19*0.8,0),"")</f>
      </c>
      <c r="J20" s="34">
        <f>IFERROR(ROUND(J19*0.8,0),"")</f>
      </c>
      <c r="K20" s="33">
        <f>IFERROR(ROUND(K19*0.8,0),"")</f>
      </c>
      <c r="L20" s="34">
        <f>IFERROR(ROUND(L19*0.8,0),"")</f>
      </c>
      <c r="M20" s="71">
        <f>IFERROR(ROUND(M19*0.8,0),"")</f>
      </c>
    </row>
    <row r="21" spans="2:42" ht="18" thickBot="1" x14ac:dyDescent="0.3">
      <c r="B21" s="93"/>
      <c r="C21" s="83"/>
      <c r="D21" s="26" t="s">
        <v>39</v>
      </c>
      <c r="E21" s="36">
        <f>IFERROR(ROUND(E19*0.6,0),"")</f>
      </c>
      <c r="F21" s="37">
        <f>IFERROR(ROUND(F19*0.6,0),"")</f>
      </c>
      <c r="G21" s="36">
        <f>IFERROR(ROUND(G19*0.6,0),"")</f>
      </c>
      <c r="H21" s="37">
        <f>IFERROR(ROUND(H19*0.6,0),"")</f>
      </c>
      <c r="I21" s="36">
        <f>IFERROR(ROUND(I19*0.6,0),"")</f>
      </c>
      <c r="J21" s="37">
        <f>IFERROR(ROUND(J19*0.6,0),"")</f>
      </c>
      <c r="K21" s="36">
        <f>IFERROR(ROUND(K19*0.6,0),"")</f>
      </c>
      <c r="L21" s="37">
        <f>IFERROR(ROUND(L19*0.6,0),"")</f>
      </c>
      <c r="M21" s="72">
        <f>IFERROR(ROUND(M19*0.6,0),"")</f>
      </c>
    </row>
    <row r="22" spans="2:42" x14ac:dyDescent="0.25">
      <c r="B22" s="91" t="s">
        <v>83</v>
      </c>
      <c r="C22" s="81" t="s">
        <v>44</v>
      </c>
      <c r="D22" s="18" t="s">
        <v>41</v>
      </c>
      <c r="E22" s="30">
        <f>IF($V$3&gt;0,IF(OR($M$3&lt;30,$M$3&gt;70),"Vandens t. 30-70°C",84.2*$V$4-280),"")</f>
      </c>
      <c r="F22" s="31">
        <f>IF($V$3&gt;0,IF(OR($M$3&lt;30,$M$3&gt;70),"Vandens t. 30-70°C",124.4*$V$4-370.1),"")</f>
      </c>
      <c r="G22" s="30">
        <f>IF($V$3&gt;0,IF(OR($M$3&lt;30,$M$3&gt;70),"Vandens t. 30-70°C",168.5*$V$4-529.5),"")</f>
      </c>
      <c r="H22" s="31">
        <f>IF($V$3&gt;0,IF(OR($M$3&lt;30,$M$3&gt;70),"Vandens t. 30-70°C",209*$V$4-623.5),"")</f>
      </c>
      <c r="I22" s="30">
        <f>IF($V$3&gt;0,IF(OR($M$3&lt;30,$M$3&gt;70),"Vandens t. 30-70°C",249.3*$V$4-700.5),"")</f>
      </c>
      <c r="J22" s="31">
        <f>IF($V$3&gt;0,IF(OR($M$3&lt;30,$M$3&gt;70),"Vandens t. 30-70°C",334.9*$V$4-964.7),"")</f>
      </c>
      <c r="K22" s="30">
        <f>IF($V$3&gt;0,IF(OR($M$3&lt;30,$M$3&gt;70),"Vandens t. 30-70°C",407.8*$V$4-968.8),"")</f>
      </c>
      <c r="L22" s="31">
        <f>IF($V$3&gt;0,IF(OR($M$3&lt;30,$M$3&gt;70),"Vandens t. 30-70°C",495.1*$V$4-1245.1),"")</f>
      </c>
      <c r="M22" s="70">
        <f>IF($V$3&gt;0,IF(OR($M$3&lt;30,$M$3&gt;70),"Vandens t. 30-70°C",575.9*$V$4-1385),"")</f>
      </c>
    </row>
    <row r="23" spans="2:42" x14ac:dyDescent="0.25">
      <c r="B23" s="92"/>
      <c r="C23" s="82"/>
      <c r="D23" s="22" t="s">
        <v>40</v>
      </c>
      <c r="E23" s="33">
        <f>IFERROR(ROUND(E22*0.8,0),"")</f>
      </c>
      <c r="F23" s="34">
        <f>IFERROR(ROUND(F22*0.8,0),"")</f>
      </c>
      <c r="G23" s="33">
        <f>IFERROR(ROUND(G22*0.8,0),"")</f>
      </c>
      <c r="H23" s="34">
        <f>IFERROR(ROUND(H22*0.8,0),"")</f>
      </c>
      <c r="I23" s="33">
        <f>IFERROR(ROUND(I22*0.8,0),"")</f>
      </c>
      <c r="J23" s="34">
        <f>IFERROR(ROUND(J22*0.8,0),"")</f>
      </c>
      <c r="K23" s="33">
        <f>IFERROR(ROUND(K22*0.8,0),"")</f>
      </c>
      <c r="L23" s="34">
        <f>IFERROR(ROUND(L22*0.8,0),"")</f>
      </c>
      <c r="M23" s="71">
        <f>IFERROR(ROUND(M22*0.8,0),"")</f>
      </c>
    </row>
    <row r="24" spans="2:42" ht="18" thickBot="1" x14ac:dyDescent="0.3">
      <c r="B24" s="93"/>
      <c r="C24" s="83"/>
      <c r="D24" s="26" t="s">
        <v>39</v>
      </c>
      <c r="E24" s="36">
        <f>IFERROR(ROUND(E22*0.6,0),"")</f>
      </c>
      <c r="F24" s="37">
        <f>IFERROR(ROUND(F22*0.6,0),"")</f>
      </c>
      <c r="G24" s="36">
        <f>IFERROR(ROUND(G22*0.6,0),"")</f>
      </c>
      <c r="H24" s="37">
        <f>IFERROR(ROUND(H22*0.6,0),"")</f>
      </c>
      <c r="I24" s="36">
        <f>IFERROR(ROUND(I22*0.6,0),"")</f>
      </c>
      <c r="J24" s="37">
        <f>IFERROR(ROUND(J22*0.6,0),"")</f>
      </c>
      <c r="K24" s="36">
        <f>IFERROR(ROUND(K22*0.6,0),"")</f>
      </c>
      <c r="L24" s="37">
        <f>IFERROR(ROUND(L22*0.6,0),"")</f>
      </c>
      <c r="M24" s="72">
        <f>IFERROR(ROUND(M22*0.6,0),"")</f>
      </c>
    </row>
    <row r="25" spans="2:42" s="40" customFormat="1" x14ac:dyDescent="0.25">
      <c r="B25" s="84" t="s">
        <v>68</v>
      </c>
      <c r="C25" s="85"/>
      <c r="D25" s="86"/>
      <c r="E25" s="87" t="s">
        <v>45</v>
      </c>
      <c r="F25" s="87"/>
      <c r="G25" s="87"/>
      <c r="H25" s="87"/>
      <c r="I25" s="87"/>
      <c r="J25" s="87"/>
      <c r="K25" s="87"/>
      <c r="L25" s="87"/>
      <c r="M25" s="87"/>
      <c r="AP25" s="41"/>
    </row>
    <row r="26" spans="2:42" s="40" customFormat="1" x14ac:dyDescent="0.25">
      <c r="B26" s="42" t="s">
        <v>69</v>
      </c>
      <c r="C26" s="22" t="s">
        <v>44</v>
      </c>
      <c r="D26" s="22"/>
      <c r="E26" s="23">
        <v>22</v>
      </c>
      <c r="F26" s="24">
        <v>30</v>
      </c>
      <c r="G26" s="23">
        <v>36</v>
      </c>
      <c r="H26" s="24">
        <v>44</v>
      </c>
      <c r="I26" s="23">
        <v>56</v>
      </c>
      <c r="J26" s="24">
        <v>78</v>
      </c>
      <c r="K26" s="23">
        <v>88</v>
      </c>
      <c r="L26" s="24">
        <v>114</v>
      </c>
      <c r="M26" s="23">
        <v>139</v>
      </c>
      <c r="AP26" s="41"/>
    </row>
    <row r="27" spans="2:42" s="40" customFormat="1" x14ac:dyDescent="0.25">
      <c r="B27" s="42" t="s">
        <v>70</v>
      </c>
      <c r="C27" s="22" t="s">
        <v>43</v>
      </c>
      <c r="D27" s="16"/>
      <c r="E27" s="43">
        <v>0.1</v>
      </c>
      <c r="F27" s="44">
        <v>0.14000000000000001</v>
      </c>
      <c r="G27" s="43">
        <v>0.16</v>
      </c>
      <c r="H27" s="44">
        <v>0.2</v>
      </c>
      <c r="I27" s="43">
        <v>0.25</v>
      </c>
      <c r="J27" s="44">
        <v>0.35</v>
      </c>
      <c r="K27" s="43">
        <v>0.4</v>
      </c>
      <c r="L27" s="44">
        <v>0.52</v>
      </c>
      <c r="M27" s="43">
        <v>0.63</v>
      </c>
      <c r="AP27" s="41"/>
    </row>
    <row r="28" spans="2:42" x14ac:dyDescent="0.25">
      <c r="B28" s="88" t="s">
        <v>71</v>
      </c>
      <c r="C28" s="94" t="s">
        <v>42</v>
      </c>
      <c r="D28" s="22" t="s">
        <v>41</v>
      </c>
      <c r="E28" s="45">
        <v>37</v>
      </c>
      <c r="F28" s="46">
        <v>39</v>
      </c>
      <c r="G28" s="45">
        <v>41</v>
      </c>
      <c r="H28" s="46">
        <v>43</v>
      </c>
      <c r="I28" s="45">
        <v>45</v>
      </c>
      <c r="J28" s="46">
        <v>46</v>
      </c>
      <c r="K28" s="45">
        <v>48</v>
      </c>
      <c r="L28" s="46">
        <v>50</v>
      </c>
      <c r="M28" s="45">
        <v>52</v>
      </c>
    </row>
    <row r="29" spans="2:42" x14ac:dyDescent="0.25">
      <c r="B29" s="89"/>
      <c r="C29" s="82"/>
      <c r="D29" s="22" t="s">
        <v>40</v>
      </c>
      <c r="E29" s="45">
        <v>30</v>
      </c>
      <c r="F29" s="46">
        <v>33</v>
      </c>
      <c r="G29" s="45">
        <v>36</v>
      </c>
      <c r="H29" s="46">
        <v>34</v>
      </c>
      <c r="I29" s="45">
        <v>36</v>
      </c>
      <c r="J29" s="46">
        <v>41</v>
      </c>
      <c r="K29" s="45">
        <v>41</v>
      </c>
      <c r="L29" s="46">
        <v>43</v>
      </c>
      <c r="M29" s="45">
        <v>47</v>
      </c>
    </row>
    <row r="30" spans="2:42" x14ac:dyDescent="0.25">
      <c r="B30" s="90"/>
      <c r="C30" s="95"/>
      <c r="D30" s="22" t="s">
        <v>39</v>
      </c>
      <c r="E30" s="45">
        <v>26</v>
      </c>
      <c r="F30" s="46">
        <v>29</v>
      </c>
      <c r="G30" s="45">
        <v>32</v>
      </c>
      <c r="H30" s="46">
        <v>30</v>
      </c>
      <c r="I30" s="45">
        <v>32</v>
      </c>
      <c r="J30" s="46">
        <v>34</v>
      </c>
      <c r="K30" s="45">
        <v>35</v>
      </c>
      <c r="L30" s="46">
        <v>37</v>
      </c>
      <c r="M30" s="45">
        <v>43</v>
      </c>
    </row>
    <row r="31" spans="2:42" x14ac:dyDescent="0.25">
      <c r="B31" s="48" t="s">
        <v>72</v>
      </c>
      <c r="C31" s="22" t="s">
        <v>38</v>
      </c>
      <c r="D31" s="47"/>
      <c r="E31" s="23">
        <f t="shared" ref="E31:M31" si="1">IFERROR(IF($V$3&gt;0,E22/(1.163*($M$3-$M$4)),E16/(1.163*($M$4-$M$3))),"")</f>
      </c>
      <c r="F31" s="24">
        <f t="shared" si="1"/>
        <v>418.97634939600698</v>
      </c>
      <c r="G31" s="23">
        <f t="shared" si="1"/>
        <v>556.83481887366622</v>
      </c>
      <c r="H31" s="24">
        <f t="shared" si="1"/>
        <v>692.65558170472309</v>
      </c>
      <c r="I31" s="23">
        <f t="shared" si="1"/>
        <v>824.27063224321751</v>
      </c>
      <c r="J31" s="24">
        <f t="shared" si="1"/>
        <v>1104.6292915381769</v>
      </c>
      <c r="K31" s="23">
        <f t="shared" si="1"/>
        <v>1386.11090707884</v>
      </c>
      <c r="L31" s="24">
        <f t="shared" si="1"/>
        <v>1672.5020685234126</v>
      </c>
      <c r="M31" s="23">
        <f t="shared" si="1"/>
        <v>1941.7618229043569</v>
      </c>
    </row>
    <row r="32" spans="2:42" ht="16.8" customHeight="1" x14ac:dyDescent="0.25">
      <c r="B32" s="88" t="s">
        <v>73</v>
      </c>
      <c r="C32" s="94" t="s">
        <v>36</v>
      </c>
      <c r="D32" s="66" t="s">
        <v>58</v>
      </c>
      <c r="E32" s="23">
        <v>30</v>
      </c>
      <c r="F32" s="24">
        <v>30</v>
      </c>
      <c r="G32" s="23">
        <v>30</v>
      </c>
      <c r="H32" s="24">
        <v>30</v>
      </c>
      <c r="I32" s="23">
        <v>40</v>
      </c>
      <c r="J32" s="24">
        <v>40</v>
      </c>
      <c r="K32" s="23">
        <v>40</v>
      </c>
      <c r="L32" s="24">
        <v>40</v>
      </c>
      <c r="M32" s="23">
        <v>50</v>
      </c>
    </row>
    <row r="33" spans="2:42" ht="17.399999999999999" customHeight="1" x14ac:dyDescent="0.25">
      <c r="B33" s="90"/>
      <c r="C33" s="95"/>
      <c r="D33" s="66" t="s">
        <v>59</v>
      </c>
      <c r="E33" s="23">
        <v>33.09</v>
      </c>
      <c r="F33" s="24">
        <v>30.32</v>
      </c>
      <c r="G33" s="23">
        <v>36.37</v>
      </c>
      <c r="H33" s="24">
        <v>34.64</v>
      </c>
      <c r="I33" s="23">
        <v>45.65</v>
      </c>
      <c r="J33" s="24">
        <v>49.9</v>
      </c>
      <c r="K33" s="23">
        <v>40.87</v>
      </c>
      <c r="L33" s="24">
        <v>46.92</v>
      </c>
      <c r="M33" s="23">
        <v>58.99</v>
      </c>
    </row>
    <row r="34" spans="2:42" s="40" customFormat="1" x14ac:dyDescent="0.25">
      <c r="B34" s="49" t="s">
        <v>74</v>
      </c>
      <c r="C34" s="22" t="s">
        <v>34</v>
      </c>
      <c r="D34" s="50"/>
      <c r="E34" s="78">
        <v>1.6</v>
      </c>
      <c r="F34" s="78"/>
      <c r="G34" s="78"/>
      <c r="H34" s="78"/>
      <c r="I34" s="78"/>
      <c r="J34" s="78"/>
      <c r="K34" s="78"/>
      <c r="L34" s="78"/>
      <c r="M34" s="78"/>
      <c r="AP34" s="41"/>
    </row>
    <row r="35" spans="2:42" s="40" customFormat="1" x14ac:dyDescent="0.25">
      <c r="B35" s="96" t="s">
        <v>33</v>
      </c>
      <c r="C35" s="97"/>
      <c r="D35" s="98"/>
      <c r="E35" s="78" t="s">
        <v>32</v>
      </c>
      <c r="F35" s="78"/>
      <c r="G35" s="78"/>
      <c r="H35" s="78"/>
      <c r="I35" s="78"/>
      <c r="J35" s="78"/>
      <c r="K35" s="78"/>
      <c r="L35" s="78"/>
      <c r="M35" s="78"/>
      <c r="AP35" s="41"/>
    </row>
    <row r="36" spans="2:42" s="40" customFormat="1" x14ac:dyDescent="0.25">
      <c r="B36" s="76" t="s">
        <v>31</v>
      </c>
      <c r="C36" s="76"/>
      <c r="D36" s="76"/>
      <c r="E36" s="77" t="s">
        <v>30</v>
      </c>
      <c r="F36" s="78"/>
      <c r="G36" s="78"/>
      <c r="H36" s="78"/>
      <c r="I36" s="78"/>
      <c r="J36" s="78"/>
      <c r="K36" s="78"/>
      <c r="L36" s="78"/>
      <c r="M36" s="78"/>
      <c r="AP36" s="41"/>
    </row>
    <row r="37" spans="2:42" s="40" customFormat="1" x14ac:dyDescent="0.25">
      <c r="B37" s="76" t="s">
        <v>29</v>
      </c>
      <c r="C37" s="76"/>
      <c r="D37" s="76"/>
      <c r="E37" s="78" t="s">
        <v>64</v>
      </c>
      <c r="F37" s="78"/>
      <c r="G37" s="78"/>
      <c r="H37" s="78"/>
      <c r="I37" s="78"/>
      <c r="J37" s="78"/>
      <c r="K37" s="78"/>
      <c r="L37" s="78"/>
      <c r="M37" s="78"/>
      <c r="AP37" s="41"/>
    </row>
    <row r="38" spans="2:42" s="40" customFormat="1" x14ac:dyDescent="0.25">
      <c r="B38" s="76" t="s">
        <v>27</v>
      </c>
      <c r="C38" s="76"/>
      <c r="D38" s="76"/>
      <c r="E38" s="101" t="s">
        <v>49</v>
      </c>
      <c r="F38" s="101"/>
      <c r="G38" s="101"/>
      <c r="H38" s="101"/>
      <c r="I38" s="101"/>
      <c r="J38" s="101"/>
      <c r="K38" s="101"/>
      <c r="L38" s="101"/>
      <c r="M38" s="101"/>
      <c r="AP38" s="41"/>
    </row>
    <row r="39" spans="2:42" s="40" customFormat="1" x14ac:dyDescent="0.25">
      <c r="B39" s="76" t="s">
        <v>25</v>
      </c>
      <c r="C39" s="76"/>
      <c r="D39" s="76"/>
      <c r="E39" s="78" t="s">
        <v>24</v>
      </c>
      <c r="F39" s="78"/>
      <c r="G39" s="78"/>
      <c r="H39" s="78"/>
      <c r="I39" s="78"/>
      <c r="J39" s="78"/>
      <c r="K39" s="78"/>
      <c r="L39" s="78"/>
      <c r="M39" s="78"/>
      <c r="AP39" s="41"/>
    </row>
    <row r="40" spans="2:42" s="40" customFormat="1" x14ac:dyDescent="0.25">
      <c r="B40" s="76" t="s">
        <v>75</v>
      </c>
      <c r="C40" s="76"/>
      <c r="D40" s="76"/>
      <c r="E40" s="78" t="s">
        <v>23</v>
      </c>
      <c r="F40" s="78"/>
      <c r="G40" s="78"/>
      <c r="H40" s="78"/>
      <c r="I40" s="78"/>
      <c r="J40" s="78"/>
      <c r="K40" s="78"/>
      <c r="L40" s="78"/>
      <c r="M40" s="78"/>
      <c r="AP40" s="41"/>
    </row>
    <row r="41" spans="2:42" s="40" customFormat="1" x14ac:dyDescent="0.25">
      <c r="B41" s="42" t="s">
        <v>76</v>
      </c>
      <c r="C41" s="50" t="s">
        <v>7</v>
      </c>
      <c r="D41" s="42"/>
      <c r="E41" s="78" t="s">
        <v>22</v>
      </c>
      <c r="F41" s="78"/>
      <c r="G41" s="78"/>
      <c r="H41" s="78"/>
      <c r="I41" s="78"/>
      <c r="J41" s="78"/>
      <c r="K41" s="78"/>
      <c r="L41" s="78"/>
      <c r="M41" s="78"/>
      <c r="AP41" s="41"/>
    </row>
    <row r="42" spans="2:42" s="40" customFormat="1" x14ac:dyDescent="0.25">
      <c r="B42" s="100" t="s">
        <v>21</v>
      </c>
      <c r="C42" s="100"/>
      <c r="D42" s="100"/>
      <c r="E42" s="78" t="s">
        <v>20</v>
      </c>
      <c r="F42" s="78"/>
      <c r="G42" s="78"/>
      <c r="H42" s="78"/>
      <c r="I42" s="78"/>
      <c r="J42" s="78"/>
      <c r="K42" s="78"/>
      <c r="L42" s="78"/>
      <c r="M42" s="78"/>
      <c r="AP42" s="41"/>
    </row>
    <row r="43" spans="2:42" x14ac:dyDescent="0.25">
      <c r="B43" s="100" t="s">
        <v>77</v>
      </c>
      <c r="C43" s="22" t="s">
        <v>7</v>
      </c>
      <c r="D43" s="22" t="s">
        <v>2</v>
      </c>
      <c r="E43" s="78" t="s">
        <v>19</v>
      </c>
      <c r="F43" s="78"/>
      <c r="G43" s="78"/>
      <c r="H43" s="78" t="s">
        <v>18</v>
      </c>
      <c r="I43" s="78"/>
      <c r="J43" s="78"/>
      <c r="K43" s="78" t="s">
        <v>17</v>
      </c>
      <c r="L43" s="78"/>
      <c r="M43" s="78"/>
    </row>
    <row r="44" spans="2:42" x14ac:dyDescent="0.25">
      <c r="B44" s="100"/>
      <c r="C44" s="22" t="s">
        <v>7</v>
      </c>
      <c r="D44" s="22" t="s">
        <v>0</v>
      </c>
      <c r="E44" s="78" t="s">
        <v>15</v>
      </c>
      <c r="F44" s="78"/>
      <c r="G44" s="78"/>
      <c r="H44" s="78" t="s">
        <v>14</v>
      </c>
      <c r="I44" s="78"/>
      <c r="J44" s="78"/>
      <c r="K44" s="78" t="s">
        <v>13</v>
      </c>
      <c r="L44" s="78"/>
      <c r="M44" s="78"/>
    </row>
    <row r="45" spans="2:42" x14ac:dyDescent="0.25">
      <c r="B45" s="100" t="s">
        <v>78</v>
      </c>
      <c r="C45" s="22" t="s">
        <v>7</v>
      </c>
      <c r="D45" s="22" t="s">
        <v>2</v>
      </c>
      <c r="E45" s="78" t="s">
        <v>11</v>
      </c>
      <c r="F45" s="78"/>
      <c r="G45" s="78"/>
      <c r="H45" s="78" t="s">
        <v>10</v>
      </c>
      <c r="I45" s="78"/>
      <c r="J45" s="78"/>
      <c r="K45" s="78" t="s">
        <v>9</v>
      </c>
      <c r="L45" s="78"/>
      <c r="M45" s="78"/>
    </row>
    <row r="46" spans="2:42" x14ac:dyDescent="0.25">
      <c r="B46" s="100"/>
      <c r="C46" s="22" t="s">
        <v>7</v>
      </c>
      <c r="D46" s="22" t="s">
        <v>0</v>
      </c>
      <c r="E46" s="78" t="s">
        <v>6</v>
      </c>
      <c r="F46" s="78"/>
      <c r="G46" s="78"/>
      <c r="H46" s="78" t="s">
        <v>5</v>
      </c>
      <c r="I46" s="78"/>
      <c r="J46" s="78"/>
      <c r="K46" s="78" t="s">
        <v>4</v>
      </c>
      <c r="L46" s="78"/>
      <c r="M46" s="78"/>
    </row>
    <row r="47" spans="2:42" x14ac:dyDescent="0.25">
      <c r="B47" s="100" t="s">
        <v>79</v>
      </c>
      <c r="C47" s="22" t="s">
        <v>1</v>
      </c>
      <c r="D47" s="22" t="s">
        <v>2</v>
      </c>
      <c r="E47" s="103">
        <v>16.399999999999999</v>
      </c>
      <c r="F47" s="103"/>
      <c r="G47" s="103"/>
      <c r="H47" s="103">
        <v>21.5</v>
      </c>
      <c r="I47" s="103"/>
      <c r="J47" s="103"/>
      <c r="K47" s="103">
        <v>26.7</v>
      </c>
      <c r="L47" s="103"/>
      <c r="M47" s="103"/>
      <c r="P47" s="54"/>
    </row>
    <row r="48" spans="2:42" x14ac:dyDescent="0.25">
      <c r="B48" s="100"/>
      <c r="C48" s="22" t="s">
        <v>1</v>
      </c>
      <c r="D48" s="22" t="s">
        <v>0</v>
      </c>
      <c r="E48" s="103">
        <v>2.2999999999999998</v>
      </c>
      <c r="F48" s="103"/>
      <c r="G48" s="103"/>
      <c r="H48" s="103">
        <v>3.3</v>
      </c>
      <c r="I48" s="103"/>
      <c r="J48" s="103"/>
      <c r="K48" s="103">
        <v>5.2</v>
      </c>
      <c r="L48" s="103"/>
      <c r="M48" s="103"/>
    </row>
    <row r="49" spans="2:44" x14ac:dyDescent="0.25">
      <c r="B49" s="100" t="s">
        <v>80</v>
      </c>
      <c r="C49" s="22" t="s">
        <v>1</v>
      </c>
      <c r="D49" s="22" t="s">
        <v>2</v>
      </c>
      <c r="E49" s="102">
        <v>19</v>
      </c>
      <c r="F49" s="102"/>
      <c r="G49" s="102"/>
      <c r="H49" s="103">
        <v>24.3</v>
      </c>
      <c r="I49" s="103"/>
      <c r="J49" s="103"/>
      <c r="K49" s="103">
        <v>30.5</v>
      </c>
      <c r="L49" s="103"/>
      <c r="M49" s="103"/>
    </row>
    <row r="50" spans="2:44" x14ac:dyDescent="0.25">
      <c r="B50" s="100"/>
      <c r="C50" s="22" t="s">
        <v>1</v>
      </c>
      <c r="D50" s="22" t="s">
        <v>0</v>
      </c>
      <c r="E50" s="103">
        <v>3.3</v>
      </c>
      <c r="F50" s="103"/>
      <c r="G50" s="103"/>
      <c r="H50" s="103">
        <v>4.9000000000000004</v>
      </c>
      <c r="I50" s="103"/>
      <c r="J50" s="103"/>
      <c r="K50" s="103">
        <v>7.1</v>
      </c>
      <c r="L50" s="103"/>
      <c r="M50" s="103"/>
    </row>
    <row r="51" spans="2:44" x14ac:dyDescent="0.25">
      <c r="B51" s="55"/>
      <c r="C51" s="54"/>
      <c r="E51" s="56"/>
      <c r="F51" s="56"/>
      <c r="G51" s="56"/>
      <c r="H51" s="56"/>
      <c r="I51" s="56"/>
      <c r="J51" s="56"/>
      <c r="K51" s="56"/>
      <c r="L51" s="56"/>
      <c r="M51" s="56"/>
    </row>
    <row r="52" spans="2:44" x14ac:dyDescent="0.25">
      <c r="B52" s="55"/>
      <c r="C52" s="54"/>
      <c r="D52" s="54"/>
      <c r="E52" s="56"/>
      <c r="F52" s="56"/>
      <c r="G52" s="56"/>
      <c r="H52" s="56"/>
      <c r="I52" s="56"/>
      <c r="J52" s="56"/>
      <c r="K52" s="56"/>
      <c r="L52" s="56"/>
      <c r="M52" s="56"/>
    </row>
    <row r="53" spans="2:44" ht="18" thickBot="1" x14ac:dyDescent="0.3">
      <c r="B53" s="55"/>
      <c r="C53" s="54"/>
      <c r="D53" s="54"/>
      <c r="E53" s="56"/>
      <c r="F53" s="56"/>
      <c r="G53" s="56"/>
      <c r="H53" s="56"/>
      <c r="I53" s="56"/>
      <c r="J53" s="56"/>
      <c r="K53" s="56"/>
      <c r="L53" s="56"/>
      <c r="M53" s="56"/>
    </row>
    <row r="54" spans="2:44" ht="18" thickBot="1" x14ac:dyDescent="0.3">
      <c r="B54" s="55"/>
      <c r="C54" s="54"/>
      <c r="D54" s="54"/>
      <c r="G54" s="99" t="s">
        <v>63</v>
      </c>
      <c r="H54" s="99"/>
      <c r="I54" s="99" t="s">
        <v>61</v>
      </c>
      <c r="J54" s="99"/>
      <c r="M54" s="56"/>
    </row>
    <row r="55" spans="2:44" x14ac:dyDescent="0.25">
      <c r="B55" s="55"/>
      <c r="C55" s="54"/>
      <c r="D55" s="54"/>
      <c r="E55" s="56"/>
      <c r="F55" s="56"/>
      <c r="G55" s="56"/>
      <c r="H55" s="56"/>
      <c r="I55" s="56"/>
      <c r="J55" s="56"/>
      <c r="K55" s="56"/>
      <c r="L55" s="56"/>
      <c r="M55" s="56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R55" s="12"/>
    </row>
    <row r="56" spans="2:44" s="12" customFormat="1" ht="18" thickBot="1" x14ac:dyDescent="0.3">
      <c r="B56" s="106" t="s">
        <v>48</v>
      </c>
      <c r="C56" s="106"/>
      <c r="D56" s="106"/>
      <c r="E56" s="106"/>
      <c r="F56" s="106"/>
      <c r="G56" s="17" t="str">
        <f t="shared" ref="G56:M56" si="2">"CF4"&amp;"-"&amp;G57/10&amp;"-EC"</f>
      </c>
      <c r="H56" s="17" t="str">
        <f t="shared" si="2"/>
        <v>CF4-85-EC</v>
      </c>
      <c r="I56" s="17" t="str">
        <f t="shared" si="2"/>
        <v>CF4-102-EC</v>
      </c>
      <c r="J56" s="17" t="str">
        <f t="shared" si="2"/>
        <v>CF4-136-EC</v>
      </c>
      <c r="K56" s="17" t="str">
        <f t="shared" si="2"/>
        <v>CF4-170-EC</v>
      </c>
      <c r="L56" s="17" t="str">
        <f t="shared" si="2"/>
        <v>CF4-204-EC</v>
      </c>
      <c r="M56" s="17" t="str">
        <f t="shared" si="2"/>
        <v>CF4-238-EC</v>
      </c>
    </row>
    <row r="57" spans="2:44" ht="17.399999999999999" customHeight="1" x14ac:dyDescent="0.25">
      <c r="B57" s="91" t="s">
        <v>47</v>
      </c>
      <c r="C57" s="107"/>
      <c r="D57" s="107"/>
      <c r="E57" s="104" t="s">
        <v>46</v>
      </c>
      <c r="F57" s="60" t="s">
        <v>41</v>
      </c>
      <c r="G57" s="30">
        <v>680</v>
      </c>
      <c r="H57" s="31">
        <v>850</v>
      </c>
      <c r="I57" s="30">
        <v>1020</v>
      </c>
      <c r="J57" s="31">
        <v>1360</v>
      </c>
      <c r="K57" s="30">
        <v>1700</v>
      </c>
      <c r="L57" s="31">
        <v>2040</v>
      </c>
      <c r="M57" s="70">
        <v>2380</v>
      </c>
    </row>
    <row r="58" spans="2:44" x14ac:dyDescent="0.25">
      <c r="B58" s="92"/>
      <c r="C58" s="100"/>
      <c r="D58" s="100"/>
      <c r="E58" s="78"/>
      <c r="F58" s="46" t="s">
        <v>40</v>
      </c>
      <c r="G58" s="33">
        <v>520</v>
      </c>
      <c r="H58" s="34">
        <v>640</v>
      </c>
      <c r="I58" s="33">
        <v>790</v>
      </c>
      <c r="J58" s="34">
        <v>1030</v>
      </c>
      <c r="K58" s="33">
        <v>1290</v>
      </c>
      <c r="L58" s="34">
        <v>1500</v>
      </c>
      <c r="M58" s="71">
        <v>1800</v>
      </c>
    </row>
    <row r="59" spans="2:44" ht="18" thickBot="1" x14ac:dyDescent="0.3">
      <c r="B59" s="93"/>
      <c r="C59" s="108"/>
      <c r="D59" s="108"/>
      <c r="E59" s="105"/>
      <c r="F59" s="61" t="s">
        <v>39</v>
      </c>
      <c r="G59" s="36">
        <v>350</v>
      </c>
      <c r="H59" s="37">
        <v>430</v>
      </c>
      <c r="I59" s="36">
        <v>520</v>
      </c>
      <c r="J59" s="37">
        <v>690</v>
      </c>
      <c r="K59" s="36">
        <v>860</v>
      </c>
      <c r="L59" s="37">
        <v>1030</v>
      </c>
      <c r="M59" s="72">
        <v>1200</v>
      </c>
    </row>
    <row r="60" spans="2:44" ht="17.399999999999999" customHeight="1" x14ac:dyDescent="0.25">
      <c r="B60" s="91" t="s">
        <v>81</v>
      </c>
      <c r="C60" s="107"/>
      <c r="D60" s="107"/>
      <c r="E60" s="104" t="s">
        <v>44</v>
      </c>
      <c r="F60" s="60" t="s">
        <v>41</v>
      </c>
      <c r="G60" s="30">
        <f>IF($V$3&lt;0,IF(OR($M$3&lt;3,$M$3&gt;14),"Vandens t. 3-14°C",132.1*$V$4-361.1+397101*$V$8),"")</f>
      </c>
      <c r="H60" s="31">
        <f>IF($V$3&lt;0,IF(OR($M$3&lt;3,$M$3&gt;14),"Vandens t. 3-14°C",155.8*$V$4-395.8+470412*$V$8),"")</f>
      </c>
      <c r="I60" s="30">
        <f>IF($V$3&lt;0,IF(OR($M$3&lt;3,$M$3&gt;14),"Vandens t. 3-14°C",183.9*$V$4-518.6+549833*$V$8),"")</f>
      </c>
      <c r="J60" s="31">
        <f>IF($V$3&lt;0,IF(OR($M$3&lt;3,$M$3&gt;14),"Vandens t. 3-14°C",246.9*$V$4-720.9+733110*$V$8),"")</f>
      </c>
      <c r="K60" s="30">
        <f>IF($V$3&lt;0,IF(OR($M$3&lt;3,$M$3&gt;14),"Vandens t. 3-14°C",309*$V$4-907+916388*$V$8),"")</f>
      </c>
      <c r="L60" s="31">
        <f>IF($V$3&lt;0,IF(OR($M$3&lt;3,$M$3&gt;14),"Vandens t. 3-14°C",358.6*$V$4-1024.8+1069119*$V$8),"")</f>
      </c>
      <c r="M60" s="70">
        <f>IF($V$3&lt;0,IF(OR($M$3&lt;3,$M$3&gt;14),"Vandens t. 3-14°C",422.2*$V$4-1088.7+1282943*$V$8),"")</f>
      </c>
    </row>
    <row r="61" spans="2:44" x14ac:dyDescent="0.25">
      <c r="B61" s="92"/>
      <c r="C61" s="100"/>
      <c r="D61" s="100"/>
      <c r="E61" s="78"/>
      <c r="F61" s="46" t="s">
        <v>40</v>
      </c>
      <c r="G61" s="33">
        <f>IFERROR(ROUND(G60*0.769,0),"")</f>
      </c>
      <c r="H61" s="34">
        <f>IFERROR(ROUND(H60*0.774,0),"")</f>
      </c>
      <c r="I61" s="33">
        <f>IFERROR(ROUND(I60*0.778,0),"")</f>
      </c>
      <c r="J61" s="34">
        <f>IFERROR(ROUND(J60*0.771,0),"")</f>
      </c>
      <c r="K61" s="33">
        <f>IFERROR(ROUND(K60*0.783,0),"")</f>
      </c>
      <c r="L61" s="34">
        <f>IFERROR(ROUND(L60*0.857,0),"")</f>
      </c>
      <c r="M61" s="71">
        <f>IFERROR(ROUND(M60*0.774,0),"")</f>
      </c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</row>
    <row r="62" spans="2:44" ht="18" thickBot="1" x14ac:dyDescent="0.3">
      <c r="B62" s="93"/>
      <c r="C62" s="108"/>
      <c r="D62" s="108"/>
      <c r="E62" s="105"/>
      <c r="F62" s="61" t="s">
        <v>39</v>
      </c>
      <c r="G62" s="36">
        <f>IFERROR(ROUND(G60*0.538,0),"")</f>
      </c>
      <c r="H62" s="37">
        <f>IFERROR(ROUND(H60*0.581,0),"")</f>
      </c>
      <c r="I62" s="36">
        <f>IFERROR(ROUND(I60*0.583,0),"")</f>
      </c>
      <c r="J62" s="37">
        <f>IFERROR(ROUND(J60*0.625,0),"")</f>
      </c>
      <c r="K62" s="36">
        <f>IFERROR(ROUND(K60*0.6,0),"")</f>
      </c>
      <c r="L62" s="37">
        <f>IFERROR(ROUND(L60*0.657,0),"")</f>
      </c>
      <c r="M62" s="72">
        <f>IFERROR(ROUND(M60*0.595,0),"")</f>
      </c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</row>
    <row r="63" spans="2:44" ht="17.399999999999999" customHeight="1" x14ac:dyDescent="0.25">
      <c r="B63" s="91" t="s">
        <v>82</v>
      </c>
      <c r="C63" s="107"/>
      <c r="D63" s="107"/>
      <c r="E63" s="104" t="s">
        <v>44</v>
      </c>
      <c r="F63" s="60" t="s">
        <v>41</v>
      </c>
      <c r="G63" s="30">
        <f>IF($V$3&lt;0,IF(OR($M$3&lt;3,$M$3&gt;14),"Vandens t. 3-14°C",132.1*$V$4-361.1),"")</f>
      </c>
      <c r="H63" s="31">
        <f>IF($V$3&lt;0,IF(OR($M$3&lt;3,$M$3&gt;14),"Vandens t. 3-14°C",155.8*$V$4-395.8),"")</f>
      </c>
      <c r="I63" s="30">
        <f>IF($V$3&lt;0,IF(OR($M$3&lt;3,$M$3&gt;14),"Vandens t. 3-14°C",183.9*$V$4-518.6),"")</f>
      </c>
      <c r="J63" s="31">
        <f>IF($V$3&lt;0,IF(OR($M$3&lt;3,$M$3&gt;14),"Vandens t. 3-14°C",246.9*$V$4-720.9),"")</f>
      </c>
      <c r="K63" s="30">
        <f>IF($V$3&lt;0,IF(OR($M$3&lt;3,$M$3&gt;14),"Vandens t. 3-14°C",309*$V$4-907),"")</f>
      </c>
      <c r="L63" s="31">
        <f>IF($V$3&lt;0,IF(OR($M$3&lt;3,$M$3&gt;14),"Vandens t. 3-14°C",358.6*$V$4-1024.8),"")</f>
      </c>
      <c r="M63" s="70">
        <f>IF($V$3&lt;0,IF(OR($M$3&lt;3,$M$3&gt;14),"Vandens t. 3-14°C",422.2*$V$4-1088.7),"")</f>
      </c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</row>
    <row r="64" spans="2:44" x14ac:dyDescent="0.25">
      <c r="B64" s="92"/>
      <c r="C64" s="100"/>
      <c r="D64" s="100"/>
      <c r="E64" s="78"/>
      <c r="F64" s="46" t="s">
        <v>40</v>
      </c>
      <c r="G64" s="33">
        <f>IFERROR(ROUND(G63*0.769,0),"")</f>
      </c>
      <c r="H64" s="34">
        <f>IFERROR(ROUND(H63*0.774,0),"")</f>
      </c>
      <c r="I64" s="33">
        <f>IFERROR(ROUND(I63*0.778,0),"")</f>
      </c>
      <c r="J64" s="34">
        <f>IFERROR(ROUND(J63*0.771,0),"")</f>
      </c>
      <c r="K64" s="33">
        <f>IFERROR(ROUND(K63*0.783,0),"")</f>
      </c>
      <c r="L64" s="34">
        <f>IFERROR(ROUND(L63*0.857,0),"")</f>
      </c>
      <c r="M64" s="71">
        <f>IFERROR(ROUND(M63*0.774,0),"")</f>
      </c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</row>
    <row r="65" spans="2:42" ht="18" thickBot="1" x14ac:dyDescent="0.3">
      <c r="B65" s="93"/>
      <c r="C65" s="108"/>
      <c r="D65" s="108"/>
      <c r="E65" s="105"/>
      <c r="F65" s="61" t="s">
        <v>39</v>
      </c>
      <c r="G65" s="36">
        <f>IFERROR(ROUND(G63*0.538,0),"")</f>
      </c>
      <c r="H65" s="37">
        <f>IFERROR(ROUND(H63*0.581,0),"")</f>
      </c>
      <c r="I65" s="36">
        <f>IFERROR(ROUND(I63*0.583,0),"")</f>
      </c>
      <c r="J65" s="37">
        <f>IFERROR(ROUND(J63*0.625,0),"")</f>
      </c>
      <c r="K65" s="36">
        <f>IFERROR(ROUND(K63*0.6,0),"")</f>
      </c>
      <c r="L65" s="37">
        <f>IFERROR(ROUND(L63*0.657,0),"")</f>
      </c>
      <c r="M65" s="72">
        <f>IFERROR(ROUND(M63*0.595,0),"")</f>
      </c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</row>
    <row r="66" spans="2:42" ht="17.399999999999999" customHeight="1" x14ac:dyDescent="0.25">
      <c r="B66" s="91" t="s">
        <v>83</v>
      </c>
      <c r="C66" s="107"/>
      <c r="D66" s="107"/>
      <c r="E66" s="104" t="s">
        <v>44</v>
      </c>
      <c r="F66" s="60" t="s">
        <v>41</v>
      </c>
      <c r="G66" s="30">
        <f>IF($V$3&gt;0,IF(OR($M$3&lt;30,$M$3&gt;70),"Vandens t. 30-70°C",83*$V$4-281.2),"")</f>
      </c>
      <c r="H66" s="31">
        <f>IF($V$3&gt;0,IF(OR($M$3&lt;30,$M$3&gt;70),"Vandens t. 30-70°C",110.1*$V$4-325.7),"")</f>
      </c>
      <c r="I66" s="30">
        <f>IF($V$3&gt;0,IF(OR($M$3&lt;30,$M$3&gt;70),"Vandens t. 30-70°C",137*$V$4-466.4),"")</f>
      </c>
      <c r="J66" s="31">
        <f>IF($V$3&gt;0,IF(OR($M$3&lt;30,$M$3&gt;70),"Vandens t. 30-70°C",155.1*$V$4-554.9),"")</f>
      </c>
      <c r="K66" s="30">
        <f>IF($V$3&gt;0,IF(OR($M$3&lt;30,$M$3&gt;70),"Vandens t. 30-70°C",205.6*$V$4-696.5),"")</f>
      </c>
      <c r="L66" s="31">
        <f>IF($V$3&gt;0,IF(OR($M$3&lt;30,$M$3&gt;70),"Vandens t. 30-70°C",228.4*$V$4-769.6),"")</f>
      </c>
      <c r="M66" s="70">
        <f>IF($V$3&gt;0,IF(OR($M$3&lt;30,$M$3&gt;70),"Vandens t. 30-70°C",272.5*$V$4-888.8),"")</f>
      </c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</row>
    <row r="67" spans="2:42" x14ac:dyDescent="0.25">
      <c r="B67" s="92"/>
      <c r="C67" s="100"/>
      <c r="D67" s="100"/>
      <c r="E67" s="78"/>
      <c r="F67" s="46" t="s">
        <v>40</v>
      </c>
      <c r="G67" s="33">
        <f>IFERROR(ROUND(G66*0.769,0),"")</f>
      </c>
      <c r="H67" s="34">
        <f>IFERROR(ROUND(H66*0.771,0),"")</f>
      </c>
      <c r="I67" s="33">
        <f>IFERROR(ROUND(I66*0.744,0),"")</f>
      </c>
      <c r="J67" s="34">
        <f>IFERROR(ROUND(J66*0.878,0),"")</f>
      </c>
      <c r="K67" s="33">
        <f>IFERROR(ROUND(K66*0.831,0),"")</f>
      </c>
      <c r="L67" s="34">
        <f>IFERROR(ROUND(L66*0.778,0),"")</f>
      </c>
      <c r="M67" s="71">
        <f>IFERROR(ROUND(M66*0.874,0),"")</f>
      </c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</row>
    <row r="68" spans="2:42" ht="18" thickBot="1" x14ac:dyDescent="0.3">
      <c r="B68" s="93"/>
      <c r="C68" s="108"/>
      <c r="D68" s="108"/>
      <c r="E68" s="105"/>
      <c r="F68" s="61" t="s">
        <v>39</v>
      </c>
      <c r="G68" s="36">
        <f>IFERROR(ROUND(G66*0.538,0),"")</f>
      </c>
      <c r="H68" s="37">
        <f>IFERROR(ROUND(H66*0.6,0),"")</f>
      </c>
      <c r="I68" s="36">
        <f>IFERROR(ROUND(I66*0.581,0),"")</f>
      </c>
      <c r="J68" s="37">
        <f>IFERROR(ROUND(J66*0.714,0),"")</f>
      </c>
      <c r="K68" s="36">
        <f>IFERROR(ROUND(K66*0.646,0),"")</f>
      </c>
      <c r="L68" s="37">
        <f>IFERROR(ROUND(L66*0.597,0),"")</f>
      </c>
      <c r="M68" s="72">
        <f>IFERROR(ROUND(M66*0.667,0),"")</f>
      </c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</row>
    <row r="69" spans="2:42" s="40" customFormat="1" ht="17.399999999999999" customHeight="1" x14ac:dyDescent="0.25">
      <c r="B69" s="124" t="s">
        <v>68</v>
      </c>
      <c r="C69" s="124"/>
      <c r="D69" s="124"/>
      <c r="E69" s="124"/>
      <c r="F69" s="124"/>
      <c r="G69" s="125" t="s">
        <v>45</v>
      </c>
      <c r="H69" s="126"/>
      <c r="I69" s="126"/>
      <c r="J69" s="126"/>
      <c r="K69" s="126"/>
      <c r="L69" s="126"/>
      <c r="M69" s="126"/>
      <c r="AP69" s="41"/>
    </row>
    <row r="70" spans="2:42" s="40" customFormat="1" x14ac:dyDescent="0.25">
      <c r="B70" s="112" t="s">
        <v>69</v>
      </c>
      <c r="C70" s="113"/>
      <c r="D70" s="114"/>
      <c r="E70" s="46" t="s">
        <v>44</v>
      </c>
      <c r="F70" s="46"/>
      <c r="G70" s="23">
        <v>36</v>
      </c>
      <c r="H70" s="24">
        <v>44</v>
      </c>
      <c r="I70" s="23">
        <v>56</v>
      </c>
      <c r="J70" s="24">
        <v>78</v>
      </c>
      <c r="K70" s="23">
        <v>88</v>
      </c>
      <c r="L70" s="24">
        <v>114</v>
      </c>
      <c r="M70" s="23">
        <v>139</v>
      </c>
      <c r="AP70" s="41"/>
    </row>
    <row r="71" spans="2:42" s="40" customFormat="1" x14ac:dyDescent="0.25">
      <c r="B71" s="112" t="s">
        <v>70</v>
      </c>
      <c r="C71" s="113"/>
      <c r="D71" s="114"/>
      <c r="E71" s="46" t="s">
        <v>43</v>
      </c>
      <c r="F71" s="63"/>
      <c r="G71" s="43">
        <v>0.16</v>
      </c>
      <c r="H71" s="44">
        <v>0.2</v>
      </c>
      <c r="I71" s="43">
        <v>0.25</v>
      </c>
      <c r="J71" s="44">
        <v>0.35</v>
      </c>
      <c r="K71" s="43">
        <v>0.4</v>
      </c>
      <c r="L71" s="44">
        <v>0.52</v>
      </c>
      <c r="M71" s="43">
        <v>0.63</v>
      </c>
      <c r="AP71" s="41"/>
    </row>
    <row r="72" spans="2:42" ht="17.399999999999999" customHeight="1" x14ac:dyDescent="0.25">
      <c r="B72" s="115" t="s">
        <v>71</v>
      </c>
      <c r="C72" s="116"/>
      <c r="D72" s="117"/>
      <c r="E72" s="78" t="s">
        <v>42</v>
      </c>
      <c r="F72" s="46" t="s">
        <v>41</v>
      </c>
      <c r="G72" s="45">
        <v>41</v>
      </c>
      <c r="H72" s="46">
        <v>43</v>
      </c>
      <c r="I72" s="45">
        <v>45</v>
      </c>
      <c r="J72" s="46">
        <v>46</v>
      </c>
      <c r="K72" s="45">
        <v>48</v>
      </c>
      <c r="L72" s="46">
        <v>50</v>
      </c>
      <c r="M72" s="45">
        <v>52</v>
      </c>
    </row>
    <row r="73" spans="2:42" x14ac:dyDescent="0.25">
      <c r="B73" s="121"/>
      <c r="C73" s="122"/>
      <c r="D73" s="123"/>
      <c r="E73" s="78"/>
      <c r="F73" s="46" t="s">
        <v>40</v>
      </c>
      <c r="G73" s="45">
        <v>36</v>
      </c>
      <c r="H73" s="46">
        <v>34</v>
      </c>
      <c r="I73" s="45">
        <v>36</v>
      </c>
      <c r="J73" s="46">
        <v>41</v>
      </c>
      <c r="K73" s="45">
        <v>41</v>
      </c>
      <c r="L73" s="46">
        <v>43</v>
      </c>
      <c r="M73" s="45">
        <v>47</v>
      </c>
    </row>
    <row r="74" spans="2:42" x14ac:dyDescent="0.25">
      <c r="B74" s="118"/>
      <c r="C74" s="119"/>
      <c r="D74" s="120"/>
      <c r="E74" s="78"/>
      <c r="F74" s="46" t="s">
        <v>39</v>
      </c>
      <c r="G74" s="45">
        <v>32</v>
      </c>
      <c r="H74" s="46">
        <v>30</v>
      </c>
      <c r="I74" s="45">
        <v>32</v>
      </c>
      <c r="J74" s="46">
        <v>34</v>
      </c>
      <c r="K74" s="45">
        <v>35</v>
      </c>
      <c r="L74" s="46">
        <v>37</v>
      </c>
      <c r="M74" s="45">
        <v>43</v>
      </c>
    </row>
    <row r="75" spans="2:42" ht="17.399999999999999" customHeight="1" x14ac:dyDescent="0.25">
      <c r="B75" s="115" t="s">
        <v>72</v>
      </c>
      <c r="C75" s="116"/>
      <c r="D75" s="117"/>
      <c r="E75" s="39" t="s">
        <v>38</v>
      </c>
      <c r="F75" s="39" t="s">
        <v>37</v>
      </c>
      <c r="G75" s="33">
        <f t="shared" ref="G75:M75" si="3">IFERROR(ROUND(G60/(1.163*($M$4-$M$3)),0),"")</f>
      </c>
      <c r="H75" s="34">
        <f t="shared" si="3"/>
        <v>464</v>
      </c>
      <c r="I75" s="33">
        <f t="shared" si="3"/>
        <v>570</v>
      </c>
      <c r="J75" s="34">
        <f t="shared" si="3"/>
        <v>745</v>
      </c>
      <c r="K75" s="33">
        <f t="shared" si="3"/>
        <v>934</v>
      </c>
      <c r="L75" s="34">
        <f t="shared" si="3"/>
        <v>1075</v>
      </c>
      <c r="M75" s="33">
        <f t="shared" si="3"/>
        <v>1285</v>
      </c>
    </row>
    <row r="76" spans="2:42" x14ac:dyDescent="0.25">
      <c r="B76" s="118"/>
      <c r="C76" s="119"/>
      <c r="D76" s="120"/>
      <c r="E76" s="46" t="s">
        <v>38</v>
      </c>
      <c r="F76" s="46" t="s">
        <v>35</v>
      </c>
      <c r="G76" s="33" t="str">
        <f t="shared" ref="G76:M76" si="4">IFERROR(ROUND(G66/(1.163*($M$3-$M$4)),0),"")</f>
        <v/>
      </c>
      <c r="H76" s="34" t="str">
        <f t="shared" si="4"/>
        <v/>
      </c>
      <c r="I76" s="33" t="str">
        <f t="shared" si="4"/>
        <v/>
      </c>
      <c r="J76" s="34" t="str">
        <f t="shared" si="4"/>
        <v/>
      </c>
      <c r="K76" s="33" t="str">
        <f t="shared" si="4"/>
        <v/>
      </c>
      <c r="L76" s="34" t="str">
        <f t="shared" si="4"/>
        <v/>
      </c>
      <c r="M76" s="33" t="str">
        <f t="shared" si="4"/>
        <v/>
      </c>
    </row>
    <row r="77" spans="2:42" ht="17.399999999999999" customHeight="1" x14ac:dyDescent="0.25">
      <c r="B77" s="115" t="s">
        <v>73</v>
      </c>
      <c r="C77" s="116"/>
      <c r="D77" s="117"/>
      <c r="E77" s="46" t="s">
        <v>36</v>
      </c>
      <c r="F77" s="66" t="s">
        <v>58</v>
      </c>
      <c r="G77" s="33">
        <v>11</v>
      </c>
      <c r="H77" s="34">
        <v>17</v>
      </c>
      <c r="I77" s="33">
        <v>22</v>
      </c>
      <c r="J77" s="34">
        <v>24</v>
      </c>
      <c r="K77" s="33">
        <v>27</v>
      </c>
      <c r="L77" s="34">
        <v>30</v>
      </c>
      <c r="M77" s="33">
        <v>35</v>
      </c>
    </row>
    <row r="78" spans="2:42" ht="17.399999999999999" customHeight="1" x14ac:dyDescent="0.25">
      <c r="B78" s="118"/>
      <c r="C78" s="119"/>
      <c r="D78" s="120"/>
      <c r="E78" s="46" t="s">
        <v>36</v>
      </c>
      <c r="F78" s="66" t="s">
        <v>59</v>
      </c>
      <c r="G78" s="33">
        <v>1.56</v>
      </c>
      <c r="H78" s="34">
        <v>2.26</v>
      </c>
      <c r="I78" s="33">
        <v>2.98</v>
      </c>
      <c r="J78" s="34">
        <v>3.71</v>
      </c>
      <c r="K78" s="33">
        <v>8.05</v>
      </c>
      <c r="L78" s="34">
        <v>11.32</v>
      </c>
      <c r="M78" s="33">
        <v>10.99</v>
      </c>
    </row>
    <row r="79" spans="2:42" s="40" customFormat="1" x14ac:dyDescent="0.25">
      <c r="B79" s="109" t="s">
        <v>74</v>
      </c>
      <c r="C79" s="109"/>
      <c r="D79" s="109"/>
      <c r="E79" s="46" t="s">
        <v>34</v>
      </c>
      <c r="F79" s="64"/>
      <c r="G79" s="110">
        <v>1.6</v>
      </c>
      <c r="H79" s="111"/>
      <c r="I79" s="111"/>
      <c r="J79" s="111"/>
      <c r="K79" s="111"/>
      <c r="L79" s="111"/>
      <c r="M79" s="77"/>
      <c r="AP79" s="41"/>
    </row>
    <row r="80" spans="2:42" s="40" customFormat="1" ht="17.399999999999999" customHeight="1" x14ac:dyDescent="0.25">
      <c r="B80" s="100" t="s">
        <v>33</v>
      </c>
      <c r="C80" s="100"/>
      <c r="D80" s="100"/>
      <c r="E80" s="100"/>
      <c r="F80" s="100"/>
      <c r="G80" s="110" t="s">
        <v>32</v>
      </c>
      <c r="H80" s="111"/>
      <c r="I80" s="111"/>
      <c r="J80" s="111"/>
      <c r="K80" s="111"/>
      <c r="L80" s="111"/>
      <c r="M80" s="77"/>
      <c r="AP80" s="41"/>
    </row>
    <row r="81" spans="2:44" s="40" customFormat="1" x14ac:dyDescent="0.25">
      <c r="B81" s="76" t="s">
        <v>31</v>
      </c>
      <c r="C81" s="76"/>
      <c r="D81" s="76"/>
      <c r="E81" s="76"/>
      <c r="F81" s="76"/>
      <c r="G81" s="110" t="s">
        <v>30</v>
      </c>
      <c r="H81" s="111"/>
      <c r="I81" s="111"/>
      <c r="J81" s="111"/>
      <c r="K81" s="111"/>
      <c r="L81" s="111"/>
      <c r="M81" s="77"/>
      <c r="AP81" s="41"/>
    </row>
    <row r="82" spans="2:44" s="40" customFormat="1" x14ac:dyDescent="0.25">
      <c r="B82" s="76" t="s">
        <v>29</v>
      </c>
      <c r="C82" s="76"/>
      <c r="D82" s="76"/>
      <c r="E82" s="76"/>
      <c r="F82" s="76"/>
      <c r="G82" s="110" t="s">
        <v>64</v>
      </c>
      <c r="H82" s="111"/>
      <c r="I82" s="111"/>
      <c r="J82" s="111"/>
      <c r="K82" s="111"/>
      <c r="L82" s="111"/>
      <c r="M82" s="77"/>
      <c r="AP82" s="41"/>
    </row>
    <row r="83" spans="2:44" s="40" customFormat="1" x14ac:dyDescent="0.25">
      <c r="B83" s="76" t="s">
        <v>27</v>
      </c>
      <c r="C83" s="76"/>
      <c r="D83" s="76"/>
      <c r="E83" s="76"/>
      <c r="F83" s="76"/>
      <c r="G83" s="128" t="s">
        <v>26</v>
      </c>
      <c r="H83" s="129"/>
      <c r="I83" s="129"/>
      <c r="J83" s="129"/>
      <c r="K83" s="129"/>
      <c r="L83" s="129"/>
      <c r="M83" s="130"/>
      <c r="AP83" s="41"/>
    </row>
    <row r="84" spans="2:44" s="40" customFormat="1" x14ac:dyDescent="0.25">
      <c r="B84" s="76" t="s">
        <v>25</v>
      </c>
      <c r="C84" s="76"/>
      <c r="D84" s="76"/>
      <c r="E84" s="76"/>
      <c r="F84" s="76"/>
      <c r="G84" s="110" t="s">
        <v>24</v>
      </c>
      <c r="H84" s="111"/>
      <c r="I84" s="111"/>
      <c r="J84" s="111"/>
      <c r="K84" s="111"/>
      <c r="L84" s="111"/>
      <c r="M84" s="77"/>
      <c r="AP84" s="41"/>
    </row>
    <row r="85" spans="2:44" s="40" customFormat="1" x14ac:dyDescent="0.25">
      <c r="B85" s="76" t="s">
        <v>75</v>
      </c>
      <c r="C85" s="76"/>
      <c r="D85" s="76"/>
      <c r="E85" s="76"/>
      <c r="F85" s="76"/>
      <c r="G85" s="110" t="s">
        <v>23</v>
      </c>
      <c r="H85" s="111"/>
      <c r="I85" s="111"/>
      <c r="J85" s="111"/>
      <c r="K85" s="111"/>
      <c r="L85" s="111"/>
      <c r="M85" s="77"/>
      <c r="AP85" s="41"/>
    </row>
    <row r="86" spans="2:44" s="40" customFormat="1" x14ac:dyDescent="0.25">
      <c r="B86" s="131" t="s">
        <v>76</v>
      </c>
      <c r="C86" s="131"/>
      <c r="D86" s="131"/>
      <c r="E86" s="64" t="s">
        <v>7</v>
      </c>
      <c r="F86" s="65"/>
      <c r="G86" s="110" t="s">
        <v>22</v>
      </c>
      <c r="H86" s="111"/>
      <c r="I86" s="111"/>
      <c r="J86" s="111"/>
      <c r="K86" s="111"/>
      <c r="L86" s="111"/>
      <c r="M86" s="77"/>
      <c r="AP86" s="41"/>
    </row>
    <row r="87" spans="2:44" s="40" customFormat="1" ht="17.399999999999999" customHeight="1" x14ac:dyDescent="0.25">
      <c r="B87" s="100" t="s">
        <v>21</v>
      </c>
      <c r="C87" s="100"/>
      <c r="D87" s="100"/>
      <c r="E87" s="100"/>
      <c r="F87" s="100"/>
      <c r="G87" s="110" t="s">
        <v>20</v>
      </c>
      <c r="H87" s="111"/>
      <c r="I87" s="111"/>
      <c r="J87" s="111"/>
      <c r="K87" s="111"/>
      <c r="L87" s="111"/>
      <c r="M87" s="77"/>
      <c r="AP87" s="41"/>
    </row>
    <row r="88" spans="2:44" ht="17.399999999999999" customHeight="1" x14ac:dyDescent="0.25">
      <c r="B88" s="115" t="s">
        <v>77</v>
      </c>
      <c r="C88" s="116"/>
      <c r="D88" s="117"/>
      <c r="E88" s="46" t="s">
        <v>7</v>
      </c>
      <c r="F88" s="46" t="s">
        <v>2</v>
      </c>
      <c r="G88" s="46" t="s">
        <v>19</v>
      </c>
      <c r="H88" s="110" t="s">
        <v>18</v>
      </c>
      <c r="I88" s="111"/>
      <c r="J88" s="77"/>
      <c r="K88" s="78" t="s">
        <v>17</v>
      </c>
      <c r="L88" s="78"/>
      <c r="M88" s="78"/>
    </row>
    <row r="89" spans="2:44" x14ac:dyDescent="0.25">
      <c r="B89" s="118"/>
      <c r="C89" s="119"/>
      <c r="D89" s="120"/>
      <c r="E89" s="46" t="s">
        <v>7</v>
      </c>
      <c r="F89" s="46" t="s">
        <v>0</v>
      </c>
      <c r="G89" s="46" t="s">
        <v>15</v>
      </c>
      <c r="H89" s="110" t="s">
        <v>14</v>
      </c>
      <c r="I89" s="111"/>
      <c r="J89" s="77"/>
      <c r="K89" s="78" t="s">
        <v>13</v>
      </c>
      <c r="L89" s="78"/>
      <c r="M89" s="78"/>
    </row>
    <row r="90" spans="2:44" ht="17.399999999999999" customHeight="1" x14ac:dyDescent="0.25">
      <c r="B90" s="115" t="s">
        <v>78</v>
      </c>
      <c r="C90" s="116"/>
      <c r="D90" s="117"/>
      <c r="E90" s="46" t="s">
        <v>7</v>
      </c>
      <c r="F90" s="46" t="s">
        <v>2</v>
      </c>
      <c r="G90" s="46" t="s">
        <v>11</v>
      </c>
      <c r="H90" s="110" t="s">
        <v>10</v>
      </c>
      <c r="I90" s="111"/>
      <c r="J90" s="77"/>
      <c r="K90" s="78" t="s">
        <v>9</v>
      </c>
      <c r="L90" s="78"/>
      <c r="M90" s="78"/>
    </row>
    <row r="91" spans="2:44" x14ac:dyDescent="0.25">
      <c r="B91" s="118"/>
      <c r="C91" s="119"/>
      <c r="D91" s="120"/>
      <c r="E91" s="46" t="s">
        <v>7</v>
      </c>
      <c r="F91" s="46" t="s">
        <v>0</v>
      </c>
      <c r="G91" s="46" t="s">
        <v>6</v>
      </c>
      <c r="H91" s="110" t="s">
        <v>5</v>
      </c>
      <c r="I91" s="111"/>
      <c r="J91" s="77"/>
      <c r="K91" s="78" t="s">
        <v>4</v>
      </c>
      <c r="L91" s="78"/>
      <c r="M91" s="78"/>
    </row>
    <row r="92" spans="2:44" ht="17.399999999999999" customHeight="1" x14ac:dyDescent="0.25">
      <c r="B92" s="115" t="s">
        <v>79</v>
      </c>
      <c r="C92" s="116"/>
      <c r="D92" s="117"/>
      <c r="E92" s="46" t="s">
        <v>1</v>
      </c>
      <c r="F92" s="46" t="s">
        <v>2</v>
      </c>
      <c r="G92" s="52">
        <v>17</v>
      </c>
      <c r="H92" s="132">
        <v>22.2</v>
      </c>
      <c r="I92" s="133"/>
      <c r="J92" s="134"/>
      <c r="K92" s="103">
        <v>27.4</v>
      </c>
      <c r="L92" s="103"/>
      <c r="M92" s="103"/>
    </row>
    <row r="93" spans="2:44" x14ac:dyDescent="0.25">
      <c r="B93" s="118"/>
      <c r="C93" s="119"/>
      <c r="D93" s="120"/>
      <c r="E93" s="46" t="s">
        <v>1</v>
      </c>
      <c r="F93" s="46" t="s">
        <v>0</v>
      </c>
      <c r="G93" s="52">
        <v>2.2999999999999998</v>
      </c>
      <c r="H93" s="132">
        <v>3.4</v>
      </c>
      <c r="I93" s="133"/>
      <c r="J93" s="134"/>
      <c r="K93" s="103">
        <v>5.2</v>
      </c>
      <c r="L93" s="103"/>
      <c r="M93" s="103"/>
    </row>
    <row r="94" spans="2:44" ht="17.399999999999999" customHeight="1" x14ac:dyDescent="0.25">
      <c r="B94" s="115" t="s">
        <v>80</v>
      </c>
      <c r="C94" s="116"/>
      <c r="D94" s="117"/>
      <c r="E94" s="46" t="s">
        <v>1</v>
      </c>
      <c r="F94" s="46" t="s">
        <v>2</v>
      </c>
      <c r="G94" s="24">
        <v>19.600000000000001</v>
      </c>
      <c r="H94" s="132">
        <v>25</v>
      </c>
      <c r="I94" s="133"/>
      <c r="J94" s="134"/>
      <c r="K94" s="103">
        <v>31.2</v>
      </c>
      <c r="L94" s="103"/>
      <c r="M94" s="103"/>
    </row>
    <row r="95" spans="2:44" x14ac:dyDescent="0.25">
      <c r="B95" s="118"/>
      <c r="C95" s="119"/>
      <c r="D95" s="120"/>
      <c r="E95" s="46" t="s">
        <v>1</v>
      </c>
      <c r="F95" s="46" t="s">
        <v>0</v>
      </c>
      <c r="G95" s="52">
        <v>3.4</v>
      </c>
      <c r="H95" s="132">
        <v>4.9000000000000004</v>
      </c>
      <c r="I95" s="133"/>
      <c r="J95" s="134"/>
      <c r="K95" s="103">
        <v>7.2</v>
      </c>
      <c r="L95" s="103"/>
      <c r="M95" s="103"/>
    </row>
    <row r="96" spans="2:44" x14ac:dyDescent="0.25">
      <c r="B96" s="55"/>
      <c r="C96" s="54"/>
      <c r="D96" s="54"/>
      <c r="E96" s="56"/>
      <c r="F96" s="56"/>
      <c r="G96" s="56"/>
      <c r="H96" s="56"/>
      <c r="I96" s="56"/>
      <c r="J96" s="56"/>
      <c r="K96" s="56"/>
      <c r="L96" s="56"/>
      <c r="M96" s="56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R96" s="12"/>
    </row>
    <row r="98" spans="2:2" x14ac:dyDescent="0.25">
      <c r="B98"/>
    </row>
    <row r="99" spans="2:2" x14ac:dyDescent="0.25">
      <c r="B99"/>
    </row>
    <row r="100" spans="2:2" x14ac:dyDescent="0.25">
      <c r="B100"/>
    </row>
    <row r="101" spans="2:2" x14ac:dyDescent="0.25">
      <c r="B101"/>
    </row>
  </sheetData>
  <sheetProtection algorithmName="SHA-512" hashValue="foEn1uHH6vhaGhRO/kBMz8bmXOSlmMYIPRBDVzBa4JuDCnh0SHvrIgph0QPxcC2b0e144nR4MRkjh01BLsFhdA==" saltValue="zy0pVV1Lx14tOm+rzscYUg==" spinCount="100000" sheet="1" objects="1" scenarios="1"/>
  <mergeCells count="120">
    <mergeCell ref="B92:D93"/>
    <mergeCell ref="H92:J92"/>
    <mergeCell ref="K92:M92"/>
    <mergeCell ref="H93:J93"/>
    <mergeCell ref="K93:M93"/>
    <mergeCell ref="B94:D95"/>
    <mergeCell ref="H94:J94"/>
    <mergeCell ref="K94:M94"/>
    <mergeCell ref="H95:J95"/>
    <mergeCell ref="K95:M95"/>
    <mergeCell ref="B88:D89"/>
    <mergeCell ref="H88:J88"/>
    <mergeCell ref="K88:M88"/>
    <mergeCell ref="H89:J89"/>
    <mergeCell ref="K89:M89"/>
    <mergeCell ref="B90:D91"/>
    <mergeCell ref="H90:J90"/>
    <mergeCell ref="K90:M90"/>
    <mergeCell ref="H91:J91"/>
    <mergeCell ref="K91:M91"/>
    <mergeCell ref="B85:F85"/>
    <mergeCell ref="G85:M85"/>
    <mergeCell ref="B86:D86"/>
    <mergeCell ref="G86:M86"/>
    <mergeCell ref="B87:F87"/>
    <mergeCell ref="G87:M87"/>
    <mergeCell ref="B82:F82"/>
    <mergeCell ref="G82:M82"/>
    <mergeCell ref="B83:F83"/>
    <mergeCell ref="G83:M83"/>
    <mergeCell ref="B84:F84"/>
    <mergeCell ref="G84:M84"/>
    <mergeCell ref="B79:D79"/>
    <mergeCell ref="G79:M79"/>
    <mergeCell ref="B80:F80"/>
    <mergeCell ref="G80:M80"/>
    <mergeCell ref="B81:F81"/>
    <mergeCell ref="G81:M81"/>
    <mergeCell ref="B70:D70"/>
    <mergeCell ref="B71:D71"/>
    <mergeCell ref="B72:D74"/>
    <mergeCell ref="E72:E74"/>
    <mergeCell ref="B75:D76"/>
    <mergeCell ref="B77:D78"/>
    <mergeCell ref="B63:D65"/>
    <mergeCell ref="E63:E65"/>
    <mergeCell ref="B66:D68"/>
    <mergeCell ref="E66:E68"/>
    <mergeCell ref="B69:F69"/>
    <mergeCell ref="G69:M69"/>
    <mergeCell ref="G54:H54"/>
    <mergeCell ref="I54:J54"/>
    <mergeCell ref="B56:F56"/>
    <mergeCell ref="B57:D59"/>
    <mergeCell ref="E57:E59"/>
    <mergeCell ref="B60:D62"/>
    <mergeCell ref="E60:E62"/>
    <mergeCell ref="B49:B50"/>
    <mergeCell ref="E49:G49"/>
    <mergeCell ref="H49:J49"/>
    <mergeCell ref="K49:M49"/>
    <mergeCell ref="E50:G50"/>
    <mergeCell ref="H50:J50"/>
    <mergeCell ref="K50:M50"/>
    <mergeCell ref="B47:B48"/>
    <mergeCell ref="E47:G47"/>
    <mergeCell ref="H47:J47"/>
    <mergeCell ref="K47:M47"/>
    <mergeCell ref="E48:G48"/>
    <mergeCell ref="H48:J48"/>
    <mergeCell ref="K48:M48"/>
    <mergeCell ref="B45:B46"/>
    <mergeCell ref="E45:G45"/>
    <mergeCell ref="H45:J45"/>
    <mergeCell ref="K45:M45"/>
    <mergeCell ref="E46:G46"/>
    <mergeCell ref="H46:J46"/>
    <mergeCell ref="K46:M46"/>
    <mergeCell ref="E41:M41"/>
    <mergeCell ref="B42:D42"/>
    <mergeCell ref="E42:M42"/>
    <mergeCell ref="B43:B44"/>
    <mergeCell ref="E43:G43"/>
    <mergeCell ref="H43:J43"/>
    <mergeCell ref="K43:M43"/>
    <mergeCell ref="E44:G44"/>
    <mergeCell ref="H44:J44"/>
    <mergeCell ref="K44:M44"/>
    <mergeCell ref="B38:D38"/>
    <mergeCell ref="E38:M38"/>
    <mergeCell ref="B39:D39"/>
    <mergeCell ref="E39:M39"/>
    <mergeCell ref="B40:D40"/>
    <mergeCell ref="E40:M40"/>
    <mergeCell ref="E34:M34"/>
    <mergeCell ref="B35:D35"/>
    <mergeCell ref="E35:M35"/>
    <mergeCell ref="B36:D36"/>
    <mergeCell ref="E36:M36"/>
    <mergeCell ref="B37:D37"/>
    <mergeCell ref="E37:M37"/>
    <mergeCell ref="B28:B30"/>
    <mergeCell ref="C28:C30"/>
    <mergeCell ref="B32:B33"/>
    <mergeCell ref="C32:C33"/>
    <mergeCell ref="B16:B18"/>
    <mergeCell ref="C16:C18"/>
    <mergeCell ref="B19:B21"/>
    <mergeCell ref="C19:C21"/>
    <mergeCell ref="B22:B24"/>
    <mergeCell ref="C22:C24"/>
    <mergeCell ref="G6:J7"/>
    <mergeCell ref="G8:J8"/>
    <mergeCell ref="G10:H10"/>
    <mergeCell ref="I10:J10"/>
    <mergeCell ref="B12:D12"/>
    <mergeCell ref="B13:B15"/>
    <mergeCell ref="C13:C15"/>
    <mergeCell ref="B25:D25"/>
    <mergeCell ref="E25:M25"/>
  </mergeCells>
  <conditionalFormatting sqref="E16:M21 G60:M65">
    <cfRule type="cellIs" dxfId="1" priority="1" operator="between">
      <formula>$V$5</formula>
      <formula>$V$6</formula>
    </cfRule>
  </conditionalFormatting>
  <conditionalFormatting sqref="E22:M24 G66:M68">
    <cfRule type="cellIs" dxfId="0" priority="2" operator="between">
      <formula>$V$5</formula>
      <formula>$V$6</formula>
    </cfRule>
  </conditionalFormatting>
  <dataValidations count="6">
    <dataValidation type="custom" allowBlank="1" showErrorMessage="1" errorTitle="Netinkama reikšmė" error="Įeinančio vandens temperatūra: 3-14 °C (vėsinimas) arba 30-70 °C (šildymas)." sqref="M3">
      <formula1>OR(AND(M3&gt;=3,M3&lt;=14),AND(M3&gt;=30,M3&lt;=70))</formula1>
    </dataValidation>
    <dataValidation type="custom" allowBlank="1" showErrorMessage="1" errorStyle="warning" errorTitle="Vandens ΔT" error="Rekomenduojamas vandens ΔT (įeinančio ir išeinančio skirtumas) yra 3-8 K. Už šių ribų skaičiavimo tikslumas mažesnis." sqref="M4">
      <formula1>AND(ABS(M3-M4)&gt;=3,ABS(M3-M4)&lt;=8)</formula1>
    </dataValidation>
    <dataValidation type="decimal" allowBlank="1" showErrorMessage="1" errorTitle="Netinkama reikšmė" error="Patalpos temperatūra: 16-32 °C." sqref="M5">
      <formula1>16</formula1>
      <formula2>32</formula2>
    </dataValidation>
    <dataValidation type="decimal" allowBlank="1" showErrorMessage="1" errorTitle="Netinkama reikšmė" error="Patalpos santykinė drėgmė: 30-80 %." sqref="M6">
      <formula1>30</formula1>
      <formula2>80</formula2>
    </dataValidation>
    <dataValidation type="decimal" allowBlank="1" showErrorMessage="1" operator="greaterThan" errorTitle="Netinkama reikšmė" error="Įveskite galią, didesnę nei 0 W." sqref="M8">
      <formula1>0</formula1>
    </dataValidation>
    <dataValidation type="decimal" allowBlank="1" showErrorMessage="1" errorTitle="Netinkama reikšmė" error="Įveskite reikšmę nuo 0 iki 100 %." sqref="M9 M10">
      <formula1>0</formula1>
      <formula2>1</formula2>
    </dataValidation>
  </dataValidations>
  <printOptions horizontalCentered="1"/>
  <pageMargins left="0.9055118110236221" right="0.39370078740157483" top="0.35433070866141736" bottom="0" header="0.31496062992125984" footer="0.31496062992125984"/>
  <pageSetup scale="47" orientation="portrait" r:id="rId1"/>
  <ignoredErrors>
    <ignoredError sqref="E17:M25 E12:M12 G56:M57 E28:M31 G72:M76 J16:M16 G59:M69 G58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CF AC Select</vt:lpstr>
      <vt:lpstr>CF EC Select</vt:lpstr>
      <vt:lpstr>'CF AC Select'!Print_Area</vt:lpstr>
      <vt:lpstr>'CF EC Select'!Print_Area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Konveka</dc:creator>
  <cp:lastModifiedBy>Konveka</cp:lastModifiedBy>
  <dcterms:created xsi:type="dcterms:W3CDTF">2026-01-10T19:45:06Z</dcterms:created>
  <dcterms:modified xsi:type="dcterms:W3CDTF">2026-09-21T10:33:53Z</dcterms:modified>
</cp:coreProperties>
</file>