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rdavimai\Desktop\PARINKIMO LENTELES -APSAUGOTOS\Naujausios is Editos 2026.04.16\"/>
    </mc:Choice>
  </mc:AlternateContent>
  <xr:revisionPtr revIDLastSave="0" documentId="13_ncr:1_{C6ABCAC7-4012-4746-B2CF-8511C8D02F66}" xr6:coauthVersionLast="47" xr6:coauthVersionMax="47" xr10:uidLastSave="{00000000-0000-0000-0000-000000000000}"/>
  <workbookProtection workbookAlgorithmName="SHA-512" workbookHashValue="vx7NzQ8CpR/jKsoUlR4/iTtgVRKW26u48H7+Jx7t8SHRAfHxcZgdCKBs1Q8u2ivoC/lFI3XTwZskPgo0J/UvCg==" workbookSaltValue="4/AGlLXJyba8Y1CdJid6Iw==" workbookSpinCount="100000" lockStructure="1"/>
  <bookViews>
    <workbookView xWindow="-120" yWindow="-120" windowWidth="29040" windowHeight="17520" xr2:uid="{14874D2B-9890-4298-935E-5C7C93FEBF93}"/>
  </bookViews>
  <sheets>
    <sheet name="HW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'HWF Select'!$B$2:$J$45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I18" i="1"/>
  <c r="Y2" i="1"/>
  <c r="Y3" i="1"/>
  <c r="Y4" i="1"/>
  <c r="Y5" i="1"/>
  <c r="E11" i="1"/>
  <c r="F11" i="1"/>
  <c r="G11" i="1"/>
  <c r="H11" i="1"/>
  <c r="I11" i="1"/>
  <c r="J11" i="1"/>
  <c r="E26" i="1"/>
  <c r="F26" i="1"/>
  <c r="G26" i="1"/>
  <c r="H26" i="1"/>
  <c r="I26" i="1"/>
  <c r="J26" i="1"/>
  <c r="I21" i="1" l="1"/>
  <c r="I22" i="1" s="1"/>
  <c r="J21" i="1"/>
  <c r="J22" i="1" s="1"/>
  <c r="I3" i="1"/>
  <c r="G21" i="1"/>
  <c r="F21" i="1"/>
  <c r="E21" i="1"/>
  <c r="E22" i="1" s="1"/>
  <c r="J18" i="1"/>
  <c r="J15" i="1" s="1"/>
  <c r="J17" i="1" s="1"/>
  <c r="I15" i="1"/>
  <c r="I17" i="1" s="1"/>
  <c r="H18" i="1"/>
  <c r="H15" i="1" s="1"/>
  <c r="H17" i="1" s="1"/>
  <c r="G18" i="1"/>
  <c r="G15" i="1" s="1"/>
  <c r="G17" i="1" s="1"/>
  <c r="F18" i="1"/>
  <c r="F19" i="1" s="1"/>
  <c r="E18" i="1"/>
  <c r="E15" i="1" s="1"/>
  <c r="E17" i="1" s="1"/>
  <c r="H21" i="1"/>
  <c r="I23" i="1" l="1"/>
  <c r="E30" i="1"/>
  <c r="I30" i="1"/>
  <c r="H30" i="1"/>
  <c r="G30" i="1"/>
  <c r="J30" i="1"/>
  <c r="J23" i="1"/>
  <c r="F15" i="1"/>
  <c r="E23" i="1"/>
  <c r="J19" i="1"/>
  <c r="J20" i="1"/>
  <c r="E16" i="1"/>
  <c r="G19" i="1"/>
  <c r="G20" i="1"/>
  <c r="I19" i="1"/>
  <c r="I20" i="1"/>
  <c r="F22" i="1"/>
  <c r="F23" i="1"/>
  <c r="H19" i="1"/>
  <c r="H20" i="1"/>
  <c r="J16" i="1"/>
  <c r="E20" i="1"/>
  <c r="E19" i="1"/>
  <c r="G16" i="1"/>
  <c r="G23" i="1"/>
  <c r="G22" i="1"/>
  <c r="H16" i="1"/>
  <c r="H23" i="1"/>
  <c r="H22" i="1"/>
  <c r="I16" i="1"/>
  <c r="F17" i="1" l="1"/>
  <c r="F30" i="1"/>
  <c r="F16" i="1"/>
</calcChain>
</file>

<file path=xl/sharedStrings.xml><?xml version="1.0" encoding="utf-8"?>
<sst xmlns="http://schemas.openxmlformats.org/spreadsheetml/2006/main" count="89" uniqueCount="62">
  <si>
    <t>kg</t>
  </si>
  <si>
    <t>Gross Weight</t>
  </si>
  <si>
    <t>Unit Weight</t>
  </si>
  <si>
    <t>1155×410×342</t>
    <phoneticPr fontId="0" type="noConversion"/>
  </si>
  <si>
    <t>1044×374×304</t>
    <phoneticPr fontId="0" type="noConversion"/>
  </si>
  <si>
    <t>927×365×287</t>
    <phoneticPr fontId="0" type="noConversion"/>
  </si>
  <si>
    <t>mm</t>
  </si>
  <si>
    <t>Packing Dimension W/D/H</t>
  </si>
  <si>
    <t>1081×327×248</t>
  </si>
  <si>
    <t>972×302×224</t>
  </si>
  <si>
    <t>850×291×203</t>
  </si>
  <si>
    <t>Unit Dimension W/D/H</t>
  </si>
  <si>
    <t>Infrared Remote Controller (Optional: Wired Controller)</t>
  </si>
  <si>
    <t>Controller</t>
  </si>
  <si>
    <t>d16</t>
  </si>
  <si>
    <t>Drain Pan Pipe Size</t>
  </si>
  <si>
    <t>1/2" Female</t>
  </si>
  <si>
    <t>Inlet/Outlet Water Pipe Size</t>
  </si>
  <si>
    <t>Copper - Aluminum</t>
  </si>
  <si>
    <t>Heat exchanger material</t>
  </si>
  <si>
    <t>2-row finned-tube</t>
  </si>
  <si>
    <t>Heat exchanger type</t>
  </si>
  <si>
    <t>EC fan motor with 0–10 V control</t>
  </si>
  <si>
    <t>Motor Type</t>
  </si>
  <si>
    <t>Cross - flow</t>
  </si>
  <si>
    <t>Fan Type</t>
  </si>
  <si>
    <t>E</t>
  </si>
  <si>
    <t>Insulation Class</t>
  </si>
  <si>
    <t>Mpa</t>
  </si>
  <si>
    <t>Max. Working Pressure</t>
  </si>
  <si>
    <t>kPa</t>
  </si>
  <si>
    <t>Low</t>
  </si>
  <si>
    <t>Med.</t>
  </si>
  <si>
    <t>High</t>
  </si>
  <si>
    <t>dB(A)</t>
  </si>
  <si>
    <t>Max Noise Level</t>
  </si>
  <si>
    <t>A</t>
  </si>
  <si>
    <t>Max Current</t>
  </si>
  <si>
    <t>W</t>
  </si>
  <si>
    <t>Max Power</t>
  </si>
  <si>
    <t>220~230V / 1Ph / 50 or 60Hz</t>
  </si>
  <si>
    <t>Power Supply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</si>
  <si>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</si>
  <si>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</si>
  <si>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</si>
  <si>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volume</t>
  </si>
  <si>
    <t>Model</t>
  </si>
  <si>
    <t>Deviation -</t>
  </si>
  <si>
    <t>Technical Specifications</t>
  </si>
  <si>
    <t>Deviation +</t>
  </si>
  <si>
    <t>Desired capacity, W</t>
  </si>
  <si>
    <t xml:space="preserve">      High wall-mounted fan coil units HWF</t>
  </si>
  <si>
    <t>Room t., °C</t>
  </si>
  <si>
    <t>dT</t>
  </si>
  <si>
    <t>Cooling / Heating</t>
  </si>
  <si>
    <t>Inlet water t., °C</t>
  </si>
  <si>
    <t>l/h</t>
  </si>
  <si>
    <t>Max Water Flow</t>
  </si>
  <si>
    <t>Heating Capacity</t>
  </si>
  <si>
    <t>Max Water Pressure loss</t>
  </si>
  <si>
    <r>
      <t xml:space="preserve">Cooling
</t>
    </r>
    <r>
      <rPr>
        <sz val="10"/>
        <rFont val="Open Sans"/>
        <family val="2"/>
      </rPr>
      <t>7/12/27C</t>
    </r>
  </si>
  <si>
    <r>
      <t xml:space="preserve">Heating
</t>
    </r>
    <r>
      <rPr>
        <sz val="10"/>
        <rFont val="Open Sans"/>
        <family val="2"/>
      </rPr>
      <t>75/65/20C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</si>
</sst>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2"/>
      <color rgb="FF000000"/>
      <name val="Open Sans"/>
      <family val="2"/>
    </font>
    <font>
      <sz val="12"/>
      <color indexed="8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1"/>
      <color theme="1"/>
      <name val="Calibri"/>
      <family val="2"/>
      <scheme val="minor"/>
    </font>
    <font>
      <sz val="14"/>
      <name val="Open Sans"/>
      <family val="2"/>
    </font>
    <font>
      <b/>
      <sz val="20"/>
      <name val="Open Sans"/>
      <family val="2"/>
    </font>
    <font>
      <sz val="10"/>
      <color rgb="FF000000"/>
      <name val="Open Sans"/>
      <family val="2"/>
    </font>
    <font>
      <sz val="1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8E8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thin">
        <color rgb="FF211F1F"/>
      </bottom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/>
      <bottom/>
      <diagonal/>
    </border>
    <border>
      <left style="thin">
        <color rgb="FF211F1F"/>
      </left>
      <right style="thin">
        <color rgb="FF211F1F"/>
      </right>
      <top style="thin">
        <color rgb="FF211F1F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rgb="FF211F1F"/>
      </bottom>
      <diagonal/>
    </border>
    <border>
      <left style="thin">
        <color rgb="FF211F1F"/>
      </left>
      <right style="thin">
        <color rgb="FF211F1F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medium">
        <color indexed="64"/>
      </top>
      <bottom style="thin">
        <color rgb="FF211F1F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medium">
        <color indexed="64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rgb="FF211F1F"/>
      </right>
      <top/>
      <bottom style="medium">
        <color indexed="64"/>
      </bottom>
      <diagonal/>
    </border>
    <border>
      <left style="medium">
        <color indexed="64"/>
      </left>
      <right style="thin">
        <color rgb="FF211F1F"/>
      </right>
      <top/>
      <bottom/>
      <diagonal/>
    </border>
    <border>
      <left style="medium">
        <color indexed="64"/>
      </left>
      <right style="thin">
        <color rgb="FF211F1F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>
      <alignment vertical="center"/>
    </xf>
  </cellStyleXfs>
  <cellXfs count="96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1" applyNumberFormat="1" applyFont="1" applyBorder="1" applyAlignment="1" applyProtection="1">
      <alignment horizontal="center" vertical="center"/>
      <protection locked="0" hidden="1"/>
    </xf>
    <xf numFmtId="0" fontId="5" fillId="0" borderId="1" xfId="1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right" vertical="center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1" xfId="1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9" fillId="0" borderId="0" xfId="1" applyFont="1" applyAlignment="1" applyProtection="1">
      <alignment vertical="center" wrapText="1"/>
      <protection locked="0" hidden="1"/>
    </xf>
    <xf numFmtId="0" fontId="2" fillId="0" borderId="0" xfId="3" applyFont="1" applyAlignment="1" applyProtection="1">
      <alignment vertical="top"/>
      <protection locked="0" hidden="1"/>
    </xf>
    <xf numFmtId="0" fontId="2" fillId="0" borderId="8" xfId="0" applyFont="1" applyBorder="1" applyAlignment="1" applyProtection="1">
      <alignment horizontal="center" vertical="center" wrapText="1"/>
      <protection locked="0" hidden="1"/>
    </xf>
    <xf numFmtId="3" fontId="5" fillId="3" borderId="35" xfId="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35" xfId="0" applyFont="1" applyBorder="1" applyAlignment="1" applyProtection="1">
      <alignment horizontal="center" vertical="center"/>
      <protection locked="0" hidden="1"/>
    </xf>
    <xf numFmtId="0" fontId="2" fillId="0" borderId="8" xfId="0" applyFont="1" applyBorder="1" applyAlignment="1" applyProtection="1">
      <alignment vertical="center" wrapText="1"/>
      <protection locked="0" hidden="1"/>
    </xf>
    <xf numFmtId="0" fontId="2" fillId="0" borderId="24" xfId="0" applyFont="1" applyBorder="1" applyAlignment="1" applyProtection="1">
      <alignment horizontal="center" vertical="center" wrapText="1"/>
      <protection locked="0" hidden="1"/>
    </xf>
    <xf numFmtId="3" fontId="2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24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2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3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8" xfId="0" applyFont="1" applyBorder="1" applyAlignment="1" applyProtection="1">
      <alignment horizontal="center" vertical="center" wrapText="1"/>
      <protection locked="0" hidden="1"/>
    </xf>
    <xf numFmtId="3" fontId="2" fillId="3" borderId="17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6" xfId="0" applyNumberFormat="1" applyFont="1" applyBorder="1" applyAlignment="1" applyProtection="1">
      <alignment horizontal="center" vertical="center" wrapText="1"/>
      <protection locked="0" hidden="1"/>
    </xf>
    <xf numFmtId="2" fontId="2" fillId="0" borderId="0" xfId="0" applyNumberFormat="1" applyFont="1" applyAlignment="1" applyProtection="1">
      <alignment horizontal="center" vertical="center"/>
      <protection locked="0" hidden="1"/>
    </xf>
    <xf numFmtId="2" fontId="2" fillId="0" borderId="0" xfId="0" applyNumberFormat="1" applyFont="1" applyAlignment="1" applyProtection="1">
      <alignment horizontal="left" vertical="center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4" xfId="0" applyNumberFormat="1" applyFont="1" applyBorder="1" applyAlignment="1" applyProtection="1">
      <alignment horizontal="center" vertical="center" wrapText="1"/>
      <protection locked="0" hidden="1"/>
    </xf>
    <xf numFmtId="1" fontId="2" fillId="0" borderId="0" xfId="0" applyNumberFormat="1" applyFont="1" applyAlignment="1" applyProtection="1">
      <alignment horizontal="left" vertical="center"/>
      <protection locked="0" hidden="1"/>
    </xf>
    <xf numFmtId="0" fontId="3" fillId="0" borderId="0" xfId="0" applyFont="1" applyAlignment="1" applyProtection="1">
      <alignment horizontal="left" vertical="center"/>
      <protection locked="0" hidden="1"/>
    </xf>
    <xf numFmtId="0" fontId="2" fillId="0" borderId="7" xfId="0" applyFont="1" applyBorder="1" applyAlignment="1" applyProtection="1">
      <alignment vertical="center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2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wrapText="1"/>
      <protection locked="0" hidden="1"/>
    </xf>
    <xf numFmtId="0" fontId="2" fillId="0" borderId="9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left" vertical="center"/>
      <protection locked="0" hidden="1"/>
    </xf>
    <xf numFmtId="0" fontId="2" fillId="0" borderId="2" xfId="0" applyFont="1" applyBorder="1" applyAlignment="1" applyProtection="1">
      <alignment horizontal="left" vertical="center" wrapText="1"/>
      <protection locked="0" hidden="1"/>
    </xf>
    <xf numFmtId="0" fontId="2" fillId="2" borderId="1" xfId="0" applyFont="1" applyFill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36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center" vertical="top" wrapText="1"/>
      <protection locked="0" hidden="1"/>
    </xf>
    <xf numFmtId="0" fontId="2" fillId="0" borderId="36" xfId="0" applyFont="1" applyBorder="1" applyAlignment="1" applyProtection="1">
      <alignment horizontal="center" vertical="top" wrapText="1"/>
      <protection locked="0" hidden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15" xfId="0" applyFont="1" applyBorder="1" applyAlignment="1" applyProtection="1">
      <alignment vertical="center" wrapText="1"/>
      <protection locked="0" hidden="1"/>
    </xf>
    <xf numFmtId="0" fontId="2" fillId="0" borderId="14" xfId="0" applyFont="1" applyBorder="1" applyAlignment="1" applyProtection="1">
      <alignment vertical="center" wrapText="1"/>
      <protection locked="0" hidden="1"/>
    </xf>
    <xf numFmtId="0" fontId="2" fillId="0" borderId="13" xfId="0" applyFont="1" applyBorder="1" applyAlignment="1" applyProtection="1">
      <alignment vertical="center" wrapText="1"/>
      <protection locked="0" hidden="1"/>
    </xf>
    <xf numFmtId="0" fontId="2" fillId="0" borderId="12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0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28" xfId="0" applyFont="1" applyBorder="1" applyAlignment="1" applyProtection="1">
      <alignment horizontal="left" vertical="top" wrapText="1"/>
      <protection locked="0" hidden="1"/>
    </xf>
    <xf numFmtId="0" fontId="2" fillId="0" borderId="27" xfId="0" applyFont="1" applyBorder="1" applyAlignment="1" applyProtection="1">
      <alignment horizontal="left" vertical="top" wrapText="1"/>
      <protection locked="0" hidden="1"/>
    </xf>
    <xf numFmtId="0" fontId="2" fillId="0" borderId="26" xfId="0" applyFont="1" applyBorder="1" applyAlignment="1" applyProtection="1">
      <alignment horizontal="left" vertical="top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8" fillId="0" borderId="0" xfId="3" applyFont="1" applyAlignment="1" applyProtection="1">
      <alignment horizontal="center" vertical="center"/>
      <protection locked="0" hidden="1"/>
    </xf>
    <xf numFmtId="0" fontId="5" fillId="0" borderId="35" xfId="0" applyFont="1" applyBorder="1" applyAlignment="1" applyProtection="1">
      <alignment horizontal="center" vertical="center" wrapText="1"/>
      <protection locked="0" hidden="1"/>
    </xf>
    <xf numFmtId="0" fontId="2" fillId="0" borderId="34" xfId="0" applyFont="1" applyBorder="1" applyAlignment="1" applyProtection="1">
      <alignment horizontal="left" vertical="top" wrapText="1"/>
      <protection locked="0" hidden="1"/>
    </xf>
    <xf numFmtId="0" fontId="2" fillId="0" borderId="32" xfId="0" applyFont="1" applyBorder="1" applyAlignment="1" applyProtection="1">
      <alignment horizontal="left" vertical="top" wrapText="1"/>
      <protection locked="0" hidden="1"/>
    </xf>
    <xf numFmtId="0" fontId="2" fillId="0" borderId="30" xfId="0" applyFont="1" applyBorder="1" applyAlignment="1" applyProtection="1">
      <alignment horizontal="left" vertical="top" wrapText="1"/>
      <protection locked="0" hidden="1"/>
    </xf>
    <xf numFmtId="0" fontId="2" fillId="0" borderId="33" xfId="0" applyFont="1" applyBorder="1" applyAlignment="1" applyProtection="1">
      <alignment horizontal="center" vertical="top" wrapText="1"/>
      <protection locked="0" hidden="1"/>
    </xf>
    <xf numFmtId="0" fontId="2" fillId="0" borderId="31" xfId="0" applyFont="1" applyBorder="1" applyAlignment="1" applyProtection="1">
      <alignment horizontal="center" vertical="top" wrapText="1"/>
      <protection locked="0" hidden="1"/>
    </xf>
    <xf numFmtId="0" fontId="2" fillId="0" borderId="29" xfId="0" applyFont="1" applyBorder="1" applyAlignment="1" applyProtection="1">
      <alignment horizontal="center" vertical="top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5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4" fillId="2" borderId="2" xfId="0" applyFont="1" applyFill="1" applyBorder="1" applyAlignment="1" applyProtection="1">
      <alignment horizontal="center" vertical="center" wrapText="1"/>
      <protection locked="0" hidden="1"/>
    </xf>
    <xf numFmtId="0" fontId="4" fillId="2" borderId="3" xfId="0" applyFont="1" applyFill="1" applyBorder="1" applyAlignment="1" applyProtection="1">
      <alignment horizontal="center" vertical="center" wrapText="1"/>
      <protection locked="0" hidden="1"/>
    </xf>
    <xf numFmtId="0" fontId="2" fillId="2" borderId="2" xfId="0" applyFont="1" applyFill="1" applyBorder="1" applyAlignment="1" applyProtection="1">
      <alignment horizontal="center" vertical="center"/>
      <protection locked="0" hidden="1"/>
    </xf>
    <xf numFmtId="0" fontId="2" fillId="2" borderId="3" xfId="0" applyFont="1" applyFill="1" applyBorder="1" applyAlignment="1" applyProtection="1">
      <alignment horizontal="center" vertical="center"/>
      <protection locked="0" hidden="1"/>
    </xf>
  </cellXfs>
  <cellStyles count="4">
    <cellStyle name="Įprastas 2" xfId="1" xr:uid="{A1496AFF-0961-4C11-9744-874044F0E3F2}"/>
    <cellStyle name="Normal" xfId="0" builtinId="0"/>
    <cellStyle name="Normal 2 2" xfId="3" xr:uid="{344093F1-00FD-4037-BE63-678E157A290D}"/>
    <cellStyle name="Procentai 2" xfId="2" xr:uid="{0AE04A9E-7AE3-4BB8-8514-64EEF82C4EFD}"/>
  </cellStyles>
  <dxfs count="2">
    <dxf>
      <font>
        <b/>
        <i val="0"/>
        <strike val="0"/>
        <color theme="0"/>
      </font>
      <fill>
        <patternFill>
          <bgColor rgb="FFFF6969"/>
        </patternFill>
      </fill>
    </dxf>
    <dxf>
      <font>
        <b/>
        <i val="0"/>
        <strike val="0"/>
        <color theme="0"/>
      </font>
      <fill>
        <patternFill>
          <bgColor rgb="FF4D93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212751</xdr:colOff>
      <xdr:row>1</xdr:row>
      <xdr:rowOff>42583</xdr:rowOff>
    </xdr:from>
    <xdr:ext cx="2907548" cy="1109542"/>
    <xdr:pic>
      <xdr:nvPicPr>
        <xdr:cNvPr id="2" name="Picture 1">
          <a:extLst>
            <a:ext uri="{FF2B5EF4-FFF2-40B4-BE49-F238E27FC236}">
              <a16:creationId xmlns:a16="http://schemas.microsoft.com/office/drawing/2014/main" id="{EF483563-561E-4E72-83E2-0C1874F2D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2751" y="273904"/>
          <a:ext cx="2907548" cy="1109542"/>
        </a:xfrm>
        <a:prstGeom prst="rect">
          <a:avLst/>
        </a:prstGeom>
      </xdr:spPr>
    </xdr:pic>
    <xdr:clientData/>
  </xdr:oneCellAnchor>
  <xdr:oneCellAnchor>
    <xdr:from>
      <xdr:col>4</xdr:col>
      <xdr:colOff>1012629</xdr:colOff>
      <xdr:row>1</xdr:row>
      <xdr:rowOff>118208</xdr:rowOff>
    </xdr:from>
    <xdr:ext cx="3138671" cy="431291"/>
    <xdr:pic>
      <xdr:nvPicPr>
        <xdr:cNvPr id="3" name="Picture 2">
          <a:extLst>
            <a:ext uri="{FF2B5EF4-FFF2-40B4-BE49-F238E27FC236}">
              <a16:creationId xmlns:a16="http://schemas.microsoft.com/office/drawing/2014/main" id="{86CBAA16-1191-4DB0-80ED-A29AEEB1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7169" y="285848"/>
          <a:ext cx="3138671" cy="431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https://d.docs.live.net/eb801f2f01c618f2/Stalinis%20kompiuteris/Darbas/Darbas/Parinkimo%20lenteles/1%20Visos%20naujos/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ADB9C-1683-4C25-BAA7-6E57914900CB}">
  <dimension ref="A2:AA47"/>
  <sheetViews>
    <sheetView showGridLines="0" tabSelected="1" zoomScale="70" zoomScaleNormal="70" zoomScaleSheetLayoutView="85" workbookViewId="0">
      <selection activeCell="F17" sqref="F17"/>
    </sheetView>
  </sheetViews>
  <sheetFormatPr defaultColWidth="8.83203125" defaultRowHeight="18" x14ac:dyDescent="0.2"/>
  <cols>
    <col min="1" max="1" width="8" style="4" customWidth="1"/>
    <col min="2" max="2" width="32.33203125" style="4" bestFit="1" customWidth="1"/>
    <col min="3" max="3" width="6.5" style="4" bestFit="1" customWidth="1"/>
    <col min="4" max="4" width="10.33203125" style="5" bestFit="1" customWidth="1"/>
    <col min="5" max="10" width="20.83203125" style="4" customWidth="1"/>
    <col min="11" max="23" width="8.83203125" style="4"/>
    <col min="24" max="24" width="19.6640625" style="4" hidden="1" customWidth="1"/>
    <col min="25" max="26" width="7.83203125" style="4" hidden="1" customWidth="1"/>
    <col min="27" max="27" width="7.83203125" style="4" customWidth="1"/>
    <col min="28" max="16384" width="8.83203125" style="4"/>
  </cols>
  <sheetData>
    <row r="2" spans="1:25" x14ac:dyDescent="0.2">
      <c r="G2" s="6"/>
      <c r="I2" s="7" t="s">
        <v>55</v>
      </c>
      <c r="J2" s="3">
        <v>7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7" t="s">
        <v>54</v>
      </c>
      <c r="Y2" s="9">
        <f>J2-J3</f>
        <v>-5</v>
      </c>
    </row>
    <row r="3" spans="1:25" x14ac:dyDescent="0.2">
      <c r="G3" s="6"/>
      <c r="I3" s="7" t="str">
        <f>IF(AND(Y2&lt;0,J3&gt;=J4),"Outlet water t. must be &lt; than room t.","Outlet water t., °C")</f>
        <v>Outlet water t., °C</v>
      </c>
      <c r="J3" s="3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7" t="s">
        <v>53</v>
      </c>
      <c r="Y3" s="9">
        <f>IF((J4-(J3+J2)/2)&lt;0, 0-(J4-(J3+J2)/2),(J4-(J3+J2)/2))</f>
        <v>17.5</v>
      </c>
    </row>
    <row r="4" spans="1:25" x14ac:dyDescent="0.2">
      <c r="I4" s="7" t="s">
        <v>52</v>
      </c>
      <c r="J4" s="3">
        <v>27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11">
        <f>IF(J6*(1-$J$8)=0,0.00001,J6*(1-$J$8))</f>
        <v>2450</v>
      </c>
    </row>
    <row r="5" spans="1:25" ht="30" x14ac:dyDescent="0.2">
      <c r="C5" s="12"/>
      <c r="D5" s="12"/>
      <c r="E5" s="12"/>
      <c r="F5" s="12"/>
      <c r="G5" s="12"/>
      <c r="H5" s="12"/>
      <c r="I5" s="12"/>
      <c r="J5" s="12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8"/>
      <c r="Y5" s="11">
        <f>IF(J6*(1+$J$7)=0,0.00001,J6*(1+$J$7))</f>
        <v>2875</v>
      </c>
    </row>
    <row r="6" spans="1:25" x14ac:dyDescent="0.2">
      <c r="C6" s="14"/>
      <c r="D6" s="79" t="s">
        <v>51</v>
      </c>
      <c r="E6" s="79"/>
      <c r="F6" s="79"/>
      <c r="G6" s="79"/>
      <c r="H6" s="79"/>
      <c r="I6" s="7" t="s">
        <v>50</v>
      </c>
      <c r="J6" s="2">
        <v>2500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x14ac:dyDescent="0.2">
      <c r="D7" s="79"/>
      <c r="E7" s="79"/>
      <c r="F7" s="79"/>
      <c r="G7" s="79"/>
      <c r="H7" s="79"/>
      <c r="I7" s="7" t="s">
        <v>49</v>
      </c>
      <c r="J7" s="1">
        <v>0.15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1" x14ac:dyDescent="0.2">
      <c r="E8" s="80" t="s">
        <v>48</v>
      </c>
      <c r="F8" s="80"/>
      <c r="G8" s="80"/>
      <c r="H8" s="80"/>
      <c r="I8" s="7" t="s">
        <v>47</v>
      </c>
      <c r="J8" s="1">
        <v>0.02</v>
      </c>
      <c r="K8" s="8"/>
      <c r="L8" s="8"/>
      <c r="M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x14ac:dyDescent="0.2"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x14ac:dyDescent="0.2"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s="5" customFormat="1" ht="17.45" customHeight="1" thickBot="1" x14ac:dyDescent="0.25">
      <c r="A11" s="15"/>
      <c r="B11" s="81" t="s">
        <v>46</v>
      </c>
      <c r="C11" s="81"/>
      <c r="D11" s="81"/>
      <c r="E11" s="16" t="str">
        <f t="shared" ref="E11:J11" si="0">"HWF"&amp;E12/10&amp;"-"&amp;"EC"</f>
        <v>HWF43-EC</v>
      </c>
      <c r="F11" s="17" t="str">
        <f t="shared" si="0"/>
        <v>HWF51-EC</v>
      </c>
      <c r="G11" s="16" t="str">
        <f t="shared" si="0"/>
        <v>HWF68-EC</v>
      </c>
      <c r="H11" s="17" t="str">
        <f t="shared" si="0"/>
        <v>HWF85-EC</v>
      </c>
      <c r="I11" s="16" t="str">
        <f t="shared" si="0"/>
        <v>HWF102-EC</v>
      </c>
      <c r="J11" s="17" t="str">
        <f t="shared" si="0"/>
        <v>HWF120-EC</v>
      </c>
      <c r="K11" s="8"/>
      <c r="L11" s="8"/>
      <c r="M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x14ac:dyDescent="0.2">
      <c r="A12" s="18"/>
      <c r="B12" s="82" t="s">
        <v>45</v>
      </c>
      <c r="C12" s="85" t="s">
        <v>44</v>
      </c>
      <c r="D12" s="19" t="s">
        <v>33</v>
      </c>
      <c r="E12" s="20">
        <v>430</v>
      </c>
      <c r="F12" s="21">
        <v>510</v>
      </c>
      <c r="G12" s="20">
        <v>680</v>
      </c>
      <c r="H12" s="21">
        <v>850</v>
      </c>
      <c r="I12" s="20">
        <v>1020</v>
      </c>
      <c r="J12" s="22">
        <v>1200</v>
      </c>
    </row>
    <row r="13" spans="1:25" x14ac:dyDescent="0.2">
      <c r="A13" s="18"/>
      <c r="B13" s="83"/>
      <c r="C13" s="86"/>
      <c r="D13" s="23" t="s">
        <v>32</v>
      </c>
      <c r="E13" s="24">
        <v>330</v>
      </c>
      <c r="F13" s="25">
        <v>395</v>
      </c>
      <c r="G13" s="24">
        <v>530</v>
      </c>
      <c r="H13" s="25">
        <v>650</v>
      </c>
      <c r="I13" s="24">
        <v>765</v>
      </c>
      <c r="J13" s="26">
        <v>880</v>
      </c>
    </row>
    <row r="14" spans="1:25" ht="18.75" thickBot="1" x14ac:dyDescent="0.25">
      <c r="A14" s="18"/>
      <c r="B14" s="84"/>
      <c r="C14" s="87"/>
      <c r="D14" s="27" t="s">
        <v>31</v>
      </c>
      <c r="E14" s="28">
        <v>220</v>
      </c>
      <c r="F14" s="29">
        <v>270</v>
      </c>
      <c r="G14" s="28">
        <v>355</v>
      </c>
      <c r="H14" s="29">
        <v>460</v>
      </c>
      <c r="I14" s="28">
        <v>520</v>
      </c>
      <c r="J14" s="30">
        <v>620</v>
      </c>
    </row>
    <row r="15" spans="1:25" x14ac:dyDescent="0.2">
      <c r="A15" s="18"/>
      <c r="B15" s="76" t="s">
        <v>43</v>
      </c>
      <c r="C15" s="19" t="s">
        <v>38</v>
      </c>
      <c r="D15" s="19" t="s">
        <v>33</v>
      </c>
      <c r="E15" s="20">
        <f>IF($Y$2&gt;0,"",IF($Y$3&gt;10.5,278.5*$Y$3-1924,E18))</f>
        <v>2949.75</v>
      </c>
      <c r="F15" s="21">
        <f>IF($Y$2&gt;0,"",IF($Y$3&gt;10.5,328.61*$Y$3-2336.1,F18))</f>
        <v>3414.5750000000003</v>
      </c>
      <c r="G15" s="20">
        <f>IF($Y$2&gt;0,"",IF($Y$3&gt;10.5,392.8*$Y$3-2822.8,G18))</f>
        <v>4051.2</v>
      </c>
      <c r="H15" s="21">
        <f>IF($Y$2&gt;0,"",IF($Y$3&gt;10.5,477.7*$Y$3-3503.8,H18))</f>
        <v>4855.95</v>
      </c>
      <c r="I15" s="20">
        <f>IF($Y$2&gt;0,"",IF($Y$3&gt;10.5,639.76*$Y$3-4638.7,I18))</f>
        <v>6557.0999999999995</v>
      </c>
      <c r="J15" s="22">
        <f>IF($Y$2&gt;0,"",IF($Y$3&gt;10.5,724.08*$Y$3-5291.4,J18))</f>
        <v>7380.0000000000018</v>
      </c>
    </row>
    <row r="16" spans="1:25" x14ac:dyDescent="0.2">
      <c r="A16" s="18"/>
      <c r="B16" s="77"/>
      <c r="C16" s="23" t="s">
        <v>38</v>
      </c>
      <c r="D16" s="23" t="s">
        <v>32</v>
      </c>
      <c r="E16" s="24">
        <f t="shared" ref="E16:J16" si="1">IFERROR(ROUND(E15*0.8,0),"")</f>
        <v>2360</v>
      </c>
      <c r="F16" s="25">
        <f t="shared" si="1"/>
        <v>2732</v>
      </c>
      <c r="G16" s="24">
        <f t="shared" si="1"/>
        <v>3241</v>
      </c>
      <c r="H16" s="25">
        <f t="shared" si="1"/>
        <v>3885</v>
      </c>
      <c r="I16" s="24">
        <f t="shared" si="1"/>
        <v>5246</v>
      </c>
      <c r="J16" s="26">
        <f t="shared" si="1"/>
        <v>5904</v>
      </c>
      <c r="K16" s="31"/>
      <c r="L16" s="31"/>
      <c r="M16" s="31"/>
      <c r="N16" s="32"/>
      <c r="O16" s="31"/>
      <c r="P16" s="31"/>
      <c r="Q16" s="31"/>
      <c r="R16" s="31"/>
      <c r="S16" s="31"/>
      <c r="T16" s="31"/>
      <c r="U16" s="31"/>
      <c r="V16" s="31"/>
      <c r="W16" s="31"/>
    </row>
    <row r="17" spans="1:27" ht="18.75" thickBot="1" x14ac:dyDescent="0.25">
      <c r="A17" s="18"/>
      <c r="B17" s="78"/>
      <c r="C17" s="27" t="s">
        <v>38</v>
      </c>
      <c r="D17" s="27" t="s">
        <v>31</v>
      </c>
      <c r="E17" s="28">
        <f>IFERROR(ROUND(E15*0.58,0),"")</f>
        <v>1711</v>
      </c>
      <c r="F17" s="29">
        <f t="shared" ref="F17:J17" si="2">IFERROR(ROUND(F15*0.58,0),"")</f>
        <v>1980</v>
      </c>
      <c r="G17" s="28">
        <f t="shared" si="2"/>
        <v>2350</v>
      </c>
      <c r="H17" s="29">
        <f t="shared" si="2"/>
        <v>2816</v>
      </c>
      <c r="I17" s="28">
        <f t="shared" si="2"/>
        <v>3803</v>
      </c>
      <c r="J17" s="33">
        <f t="shared" si="2"/>
        <v>4280</v>
      </c>
      <c r="K17" s="31"/>
      <c r="L17" s="31"/>
      <c r="M17" s="31"/>
      <c r="N17" s="32"/>
      <c r="O17" s="31"/>
      <c r="P17" s="31"/>
      <c r="Q17" s="31"/>
      <c r="R17" s="31"/>
      <c r="S17" s="31"/>
      <c r="T17" s="31"/>
      <c r="U17" s="31"/>
      <c r="V17" s="31"/>
      <c r="W17" s="31"/>
    </row>
    <row r="18" spans="1:27" x14ac:dyDescent="0.2">
      <c r="A18" s="18"/>
      <c r="B18" s="62" t="s">
        <v>42</v>
      </c>
      <c r="C18" s="19" t="s">
        <v>38</v>
      </c>
      <c r="D18" s="19" t="s">
        <v>33</v>
      </c>
      <c r="E18" s="20">
        <f>IF($Y$2&lt;0,119.31*$Y$3-1.1478,"")</f>
        <v>2086.7772</v>
      </c>
      <c r="F18" s="34">
        <f>IF($Y$2&lt;0,142.05*$Y$3-56.719,"")</f>
        <v>2429.1559999999999</v>
      </c>
      <c r="G18" s="20">
        <f>IF($Y$2&lt;0,178.37*$Y$3-139.58,"")</f>
        <v>2981.895</v>
      </c>
      <c r="H18" s="34">
        <f>IF($Y$2&lt;0,223.06*$Y$3-309.63,"")</f>
        <v>3593.92</v>
      </c>
      <c r="I18" s="20">
        <f>IF($Y$2&lt;0,282.47*$Y$3-247.44,"")</f>
        <v>4695.7850000000008</v>
      </c>
      <c r="J18" s="22">
        <f>IF($Y$2&lt;0,327.27*$Y$3-397.1,"")</f>
        <v>5330.1249999999991</v>
      </c>
      <c r="K18" s="31"/>
      <c r="L18" s="31"/>
      <c r="M18" s="32"/>
      <c r="N18" s="32"/>
      <c r="O18" s="31"/>
      <c r="P18" s="31"/>
      <c r="Q18" s="31"/>
      <c r="R18" s="31"/>
      <c r="S18" s="31"/>
      <c r="T18" s="31"/>
      <c r="U18" s="31"/>
      <c r="V18" s="31"/>
      <c r="W18" s="31"/>
    </row>
    <row r="19" spans="1:27" x14ac:dyDescent="0.2">
      <c r="A19" s="18"/>
      <c r="B19" s="63"/>
      <c r="C19" s="23" t="s">
        <v>38</v>
      </c>
      <c r="D19" s="23" t="s">
        <v>32</v>
      </c>
      <c r="E19" s="24">
        <f t="shared" ref="E19:J19" si="3">IFERROR(ROUND(E18*0.8,0),"")</f>
        <v>1669</v>
      </c>
      <c r="F19" s="25">
        <f t="shared" si="3"/>
        <v>1943</v>
      </c>
      <c r="G19" s="24">
        <f t="shared" si="3"/>
        <v>2386</v>
      </c>
      <c r="H19" s="25">
        <f t="shared" si="3"/>
        <v>2875</v>
      </c>
      <c r="I19" s="24">
        <f t="shared" si="3"/>
        <v>3757</v>
      </c>
      <c r="J19" s="26">
        <f t="shared" si="3"/>
        <v>4264</v>
      </c>
      <c r="K19" s="31"/>
      <c r="L19" s="31"/>
      <c r="M19" s="32"/>
      <c r="N19" s="32"/>
      <c r="O19" s="31"/>
      <c r="P19" s="31"/>
      <c r="Q19" s="31"/>
      <c r="R19" s="31"/>
      <c r="S19" s="31"/>
      <c r="T19" s="31"/>
      <c r="U19" s="31"/>
      <c r="V19" s="31"/>
      <c r="W19" s="31"/>
    </row>
    <row r="20" spans="1:27" ht="18.75" thickBot="1" x14ac:dyDescent="0.25">
      <c r="A20" s="18"/>
      <c r="B20" s="64"/>
      <c r="C20" s="27" t="s">
        <v>38</v>
      </c>
      <c r="D20" s="27" t="s">
        <v>31</v>
      </c>
      <c r="E20" s="28">
        <f t="shared" ref="E20:J20" si="4">IFERROR(ROUND(E18*0.58,0),"")</f>
        <v>1210</v>
      </c>
      <c r="F20" s="29">
        <f t="shared" si="4"/>
        <v>1409</v>
      </c>
      <c r="G20" s="28">
        <f t="shared" si="4"/>
        <v>1729</v>
      </c>
      <c r="H20" s="29">
        <f t="shared" si="4"/>
        <v>2084</v>
      </c>
      <c r="I20" s="28">
        <f t="shared" si="4"/>
        <v>2724</v>
      </c>
      <c r="J20" s="33">
        <f t="shared" si="4"/>
        <v>3091</v>
      </c>
      <c r="K20" s="31"/>
      <c r="L20" s="31"/>
      <c r="M20" s="32"/>
      <c r="N20" s="32"/>
      <c r="O20" s="31"/>
      <c r="P20" s="31"/>
      <c r="Q20" s="31"/>
      <c r="R20" s="31"/>
      <c r="S20" s="31"/>
      <c r="T20" s="31"/>
      <c r="U20" s="31"/>
      <c r="V20" s="31"/>
      <c r="W20" s="31"/>
    </row>
    <row r="21" spans="1:27" x14ac:dyDescent="0.2">
      <c r="A21" s="18"/>
      <c r="B21" s="62" t="s">
        <v>58</v>
      </c>
      <c r="C21" s="19" t="s">
        <v>38</v>
      </c>
      <c r="D21" s="19" t="s">
        <v>33</v>
      </c>
      <c r="E21" s="20" t="str">
        <f>IF($Y$2&gt;0,147.56*$Y$3-319.72,"")</f>
        <v/>
      </c>
      <c r="F21" s="21" t="str">
        <f>IF($Y$2&gt;0,170.58*$Y$3-447.84,"")</f>
        <v/>
      </c>
      <c r="G21" s="20" t="str">
        <f>IF($Y$2&gt;0,219.74*$Y$3-811.35,"")</f>
        <v/>
      </c>
      <c r="H21" s="21" t="str">
        <f>IF($Y$2&gt;0,262.18*$Y$3-973.53,"")</f>
        <v/>
      </c>
      <c r="I21" s="20" t="str">
        <f>IF($Y$2&gt;0,328.44*$Y$3-901.38,"")</f>
        <v/>
      </c>
      <c r="J21" s="22" t="str">
        <f>IF($Y$2&gt;0,373.45*$Y$3-1100.6,"")</f>
        <v/>
      </c>
      <c r="K21" s="31"/>
      <c r="L21" s="31"/>
      <c r="M21" s="32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5"/>
      <c r="Y21" s="35"/>
      <c r="Z21" s="35"/>
      <c r="AA21" s="35"/>
    </row>
    <row r="22" spans="1:27" x14ac:dyDescent="0.2">
      <c r="A22" s="18"/>
      <c r="B22" s="63"/>
      <c r="C22" s="23" t="s">
        <v>38</v>
      </c>
      <c r="D22" s="23" t="s">
        <v>32</v>
      </c>
      <c r="E22" s="24" t="str">
        <f t="shared" ref="E22:J22" si="5">IFERROR(ROUND(E21*0.8,0),"")</f>
        <v/>
      </c>
      <c r="F22" s="25" t="str">
        <f t="shared" si="5"/>
        <v/>
      </c>
      <c r="G22" s="24" t="str">
        <f t="shared" si="5"/>
        <v/>
      </c>
      <c r="H22" s="25" t="str">
        <f t="shared" si="5"/>
        <v/>
      </c>
      <c r="I22" s="24" t="str">
        <f t="shared" si="5"/>
        <v/>
      </c>
      <c r="J22" s="26" t="str">
        <f t="shared" si="5"/>
        <v/>
      </c>
      <c r="K22" s="31"/>
      <c r="L22" s="31"/>
      <c r="M22" s="32"/>
      <c r="N22" s="31"/>
      <c r="O22" s="31"/>
      <c r="P22" s="31"/>
      <c r="Q22" s="31"/>
      <c r="R22" s="31"/>
      <c r="S22" s="31"/>
      <c r="T22" s="31"/>
      <c r="U22" s="31"/>
      <c r="V22" s="31"/>
      <c r="W22" s="31"/>
    </row>
    <row r="23" spans="1:27" ht="18.75" thickBot="1" x14ac:dyDescent="0.25">
      <c r="A23" s="18"/>
      <c r="B23" s="64"/>
      <c r="C23" s="27" t="s">
        <v>38</v>
      </c>
      <c r="D23" s="27" t="s">
        <v>31</v>
      </c>
      <c r="E23" s="28" t="str">
        <f t="shared" ref="E23:J23" si="6">IFERROR(ROUND(E21*0.59,0),"")</f>
        <v/>
      </c>
      <c r="F23" s="29" t="str">
        <f t="shared" si="6"/>
        <v/>
      </c>
      <c r="G23" s="28" t="str">
        <f t="shared" si="6"/>
        <v/>
      </c>
      <c r="H23" s="29" t="str">
        <f t="shared" si="6"/>
        <v/>
      </c>
      <c r="I23" s="28" t="str">
        <f t="shared" si="6"/>
        <v/>
      </c>
      <c r="J23" s="33" t="str">
        <f t="shared" si="6"/>
        <v/>
      </c>
      <c r="K23" s="31"/>
      <c r="L23" s="31"/>
      <c r="M23" s="32"/>
      <c r="N23" s="31"/>
      <c r="O23" s="31"/>
      <c r="P23" s="31"/>
      <c r="Q23" s="31"/>
      <c r="R23" s="31"/>
      <c r="S23" s="31"/>
      <c r="T23" s="31"/>
      <c r="U23" s="31"/>
      <c r="V23" s="31"/>
      <c r="W23" s="31"/>
    </row>
    <row r="24" spans="1:27" s="36" customFormat="1" x14ac:dyDescent="0.2">
      <c r="B24" s="65" t="s">
        <v>41</v>
      </c>
      <c r="C24" s="66"/>
      <c r="D24" s="67"/>
      <c r="E24" s="68" t="s">
        <v>40</v>
      </c>
      <c r="F24" s="68"/>
      <c r="G24" s="68"/>
      <c r="H24" s="68"/>
      <c r="I24" s="68"/>
      <c r="J24" s="68"/>
    </row>
    <row r="25" spans="1:27" x14ac:dyDescent="0.2">
      <c r="A25" s="18"/>
      <c r="B25" s="37" t="s">
        <v>39</v>
      </c>
      <c r="C25" s="23" t="s">
        <v>38</v>
      </c>
      <c r="D25" s="38"/>
      <c r="E25" s="39">
        <v>13</v>
      </c>
      <c r="F25" s="40">
        <v>19</v>
      </c>
      <c r="G25" s="39">
        <v>25</v>
      </c>
      <c r="H25" s="23">
        <v>37</v>
      </c>
      <c r="I25" s="39">
        <v>42</v>
      </c>
      <c r="J25" s="41">
        <v>57</v>
      </c>
    </row>
    <row r="26" spans="1:27" x14ac:dyDescent="0.2">
      <c r="A26" s="18"/>
      <c r="B26" s="37" t="s">
        <v>37</v>
      </c>
      <c r="C26" s="23" t="s">
        <v>36</v>
      </c>
      <c r="D26" s="38"/>
      <c r="E26" s="42">
        <f t="shared" ref="E26:J26" si="7">E25/230</f>
        <v>5.6521739130434782E-2</v>
      </c>
      <c r="F26" s="43">
        <f t="shared" si="7"/>
        <v>8.2608695652173908E-2</v>
      </c>
      <c r="G26" s="42">
        <f t="shared" si="7"/>
        <v>0.10869565217391304</v>
      </c>
      <c r="H26" s="43">
        <f t="shared" si="7"/>
        <v>0.16086956521739129</v>
      </c>
      <c r="I26" s="42">
        <f t="shared" si="7"/>
        <v>0.18260869565217391</v>
      </c>
      <c r="J26" s="43">
        <f t="shared" si="7"/>
        <v>0.24782608695652175</v>
      </c>
    </row>
    <row r="27" spans="1:27" x14ac:dyDescent="0.2">
      <c r="A27" s="18"/>
      <c r="B27" s="58" t="s">
        <v>35</v>
      </c>
      <c r="C27" s="60" t="s">
        <v>34</v>
      </c>
      <c r="D27" s="23" t="s">
        <v>33</v>
      </c>
      <c r="E27" s="44">
        <v>32</v>
      </c>
      <c r="F27" s="40">
        <v>35</v>
      </c>
      <c r="G27" s="44">
        <v>41</v>
      </c>
      <c r="H27" s="45">
        <v>47</v>
      </c>
      <c r="I27" s="44">
        <v>45</v>
      </c>
      <c r="J27" s="40">
        <v>49</v>
      </c>
    </row>
    <row r="28" spans="1:27" x14ac:dyDescent="0.2">
      <c r="A28" s="18"/>
      <c r="B28" s="69"/>
      <c r="C28" s="71"/>
      <c r="D28" s="23" t="s">
        <v>32</v>
      </c>
      <c r="E28" s="44">
        <v>26</v>
      </c>
      <c r="F28" s="40">
        <v>29</v>
      </c>
      <c r="G28" s="44">
        <v>35</v>
      </c>
      <c r="H28" s="45">
        <v>40</v>
      </c>
      <c r="I28" s="44">
        <v>40</v>
      </c>
      <c r="J28" s="40">
        <v>43</v>
      </c>
    </row>
    <row r="29" spans="1:27" x14ac:dyDescent="0.2">
      <c r="A29" s="18"/>
      <c r="B29" s="70"/>
      <c r="C29" s="72"/>
      <c r="D29" s="46" t="s">
        <v>31</v>
      </c>
      <c r="E29" s="44">
        <v>18</v>
      </c>
      <c r="F29" s="40">
        <v>22</v>
      </c>
      <c r="G29" s="44">
        <v>25</v>
      </c>
      <c r="H29" s="45">
        <v>30</v>
      </c>
      <c r="I29" s="44">
        <v>31</v>
      </c>
      <c r="J29" s="40">
        <v>34</v>
      </c>
    </row>
    <row r="30" spans="1:27" ht="17.45" customHeight="1" x14ac:dyDescent="0.2">
      <c r="A30" s="18"/>
      <c r="B30" s="37" t="s">
        <v>57</v>
      </c>
      <c r="C30" s="23" t="s">
        <v>56</v>
      </c>
      <c r="D30" s="38"/>
      <c r="E30" s="44">
        <f>IF($Y$2&gt;0,E21/(1.163*($J$2-$J$3)),E15/(1.163*($J$3-$J$2)))</f>
        <v>507.26569217540839</v>
      </c>
      <c r="F30" s="56">
        <f t="shared" ref="F30:I30" si="8">IF($Y$2&gt;0,F21/(1.163*($J$2-$J$3)),F15/(1.163*($J$3-$J$2)))</f>
        <v>587.20120378331899</v>
      </c>
      <c r="G30" s="44">
        <f t="shared" si="8"/>
        <v>696.68099742046422</v>
      </c>
      <c r="H30" s="56">
        <f t="shared" si="8"/>
        <v>835.07308684436794</v>
      </c>
      <c r="I30" s="44">
        <f t="shared" si="8"/>
        <v>1127.6182287188306</v>
      </c>
      <c r="J30" s="56">
        <f>IF($Y$2&gt;0,J21/(1.163*($J$2-$J$3)),J15/(1.163*($J$3-$J$2)))</f>
        <v>1269.1315563198627</v>
      </c>
    </row>
    <row r="31" spans="1:27" ht="17.45" customHeight="1" x14ac:dyDescent="0.2">
      <c r="A31" s="18"/>
      <c r="B31" s="58" t="s">
        <v>59</v>
      </c>
      <c r="C31" s="60" t="s">
        <v>30</v>
      </c>
      <c r="D31" s="57" t="s">
        <v>60</v>
      </c>
      <c r="E31" s="44">
        <v>24.21</v>
      </c>
      <c r="F31" s="40">
        <v>29.83</v>
      </c>
      <c r="G31" s="44">
        <v>23.74</v>
      </c>
      <c r="H31" s="40">
        <v>29.98</v>
      </c>
      <c r="I31" s="44">
        <v>32.020000000000003</v>
      </c>
      <c r="J31" s="40">
        <v>39.58</v>
      </c>
    </row>
    <row r="32" spans="1:27" ht="17.45" customHeight="1" x14ac:dyDescent="0.2">
      <c r="A32" s="18"/>
      <c r="B32" s="59"/>
      <c r="C32" s="61"/>
      <c r="D32" s="57" t="s">
        <v>61</v>
      </c>
      <c r="E32" s="44">
        <v>30.72</v>
      </c>
      <c r="F32" s="40">
        <v>36.549999999999997</v>
      </c>
      <c r="G32" s="44">
        <v>32.08</v>
      </c>
      <c r="H32" s="40">
        <v>39.69</v>
      </c>
      <c r="I32" s="44">
        <v>37.64</v>
      </c>
      <c r="J32" s="40">
        <v>47.7</v>
      </c>
    </row>
    <row r="33" spans="2:10" s="36" customFormat="1" ht="36" x14ac:dyDescent="0.2">
      <c r="B33" s="47" t="s">
        <v>29</v>
      </c>
      <c r="C33" s="48" t="s">
        <v>28</v>
      </c>
      <c r="D33" s="49"/>
      <c r="E33" s="74">
        <v>1.6</v>
      </c>
      <c r="F33" s="74"/>
      <c r="G33" s="74"/>
      <c r="H33" s="74"/>
      <c r="I33" s="74"/>
      <c r="J33" s="74"/>
    </row>
    <row r="34" spans="2:10" s="36" customFormat="1" x14ac:dyDescent="0.2">
      <c r="B34" s="75" t="s">
        <v>27</v>
      </c>
      <c r="C34" s="75"/>
      <c r="D34" s="75"/>
      <c r="E34" s="88" t="s">
        <v>26</v>
      </c>
      <c r="F34" s="88"/>
      <c r="G34" s="88"/>
      <c r="H34" s="88"/>
      <c r="I34" s="88"/>
      <c r="J34" s="89"/>
    </row>
    <row r="35" spans="2:10" s="36" customFormat="1" ht="17.45" customHeight="1" x14ac:dyDescent="0.2">
      <c r="B35" s="75" t="s">
        <v>25</v>
      </c>
      <c r="C35" s="75"/>
      <c r="D35" s="75"/>
      <c r="E35" s="88" t="s">
        <v>24</v>
      </c>
      <c r="F35" s="88"/>
      <c r="G35" s="88"/>
      <c r="H35" s="88"/>
      <c r="I35" s="88"/>
      <c r="J35" s="89"/>
    </row>
    <row r="36" spans="2:10" s="36" customFormat="1" ht="17.45" customHeight="1" x14ac:dyDescent="0.2">
      <c r="B36" s="75" t="s">
        <v>23</v>
      </c>
      <c r="C36" s="75"/>
      <c r="D36" s="75"/>
      <c r="E36" s="90" t="s">
        <v>22</v>
      </c>
      <c r="F36" s="90"/>
      <c r="G36" s="90"/>
      <c r="H36" s="90"/>
      <c r="I36" s="90"/>
      <c r="J36" s="90"/>
    </row>
    <row r="37" spans="2:10" s="36" customFormat="1" ht="17.45" customHeight="1" x14ac:dyDescent="0.2">
      <c r="B37" s="75" t="s">
        <v>21</v>
      </c>
      <c r="C37" s="75"/>
      <c r="D37" s="75"/>
      <c r="E37" s="88" t="s">
        <v>20</v>
      </c>
      <c r="F37" s="88"/>
      <c r="G37" s="88"/>
      <c r="H37" s="88"/>
      <c r="I37" s="88"/>
      <c r="J37" s="89"/>
    </row>
    <row r="38" spans="2:10" s="36" customFormat="1" ht="17.45" customHeight="1" x14ac:dyDescent="0.2">
      <c r="B38" s="75" t="s">
        <v>19</v>
      </c>
      <c r="C38" s="75"/>
      <c r="D38" s="75"/>
      <c r="E38" s="88" t="s">
        <v>18</v>
      </c>
      <c r="F38" s="88"/>
      <c r="G38" s="88"/>
      <c r="H38" s="88"/>
      <c r="I38" s="88"/>
      <c r="J38" s="89"/>
    </row>
    <row r="39" spans="2:10" s="36" customFormat="1" ht="17.45" customHeight="1" x14ac:dyDescent="0.2">
      <c r="B39" s="75" t="s">
        <v>17</v>
      </c>
      <c r="C39" s="75"/>
      <c r="D39" s="75"/>
      <c r="E39" s="88" t="s">
        <v>16</v>
      </c>
      <c r="F39" s="88"/>
      <c r="G39" s="88"/>
      <c r="H39" s="88"/>
      <c r="I39" s="88"/>
      <c r="J39" s="89"/>
    </row>
    <row r="40" spans="2:10" s="36" customFormat="1" ht="17.45" customHeight="1" x14ac:dyDescent="0.2">
      <c r="B40" s="50" t="s">
        <v>15</v>
      </c>
      <c r="C40" s="51" t="s">
        <v>6</v>
      </c>
      <c r="D40" s="52"/>
      <c r="E40" s="91" t="s">
        <v>14</v>
      </c>
      <c r="F40" s="88"/>
      <c r="G40" s="88"/>
      <c r="H40" s="88"/>
      <c r="I40" s="88"/>
      <c r="J40" s="89"/>
    </row>
    <row r="41" spans="2:10" s="36" customFormat="1" ht="17.45" customHeight="1" x14ac:dyDescent="0.2">
      <c r="B41" s="73" t="s">
        <v>13</v>
      </c>
      <c r="C41" s="73"/>
      <c r="D41" s="73"/>
      <c r="E41" s="74" t="s">
        <v>12</v>
      </c>
      <c r="F41" s="74"/>
      <c r="G41" s="74"/>
      <c r="H41" s="74"/>
      <c r="I41" s="74"/>
      <c r="J41" s="74"/>
    </row>
    <row r="42" spans="2:10" s="36" customFormat="1" x14ac:dyDescent="0.2">
      <c r="B42" s="53" t="s">
        <v>11</v>
      </c>
      <c r="C42" s="48" t="s">
        <v>6</v>
      </c>
      <c r="D42" s="49"/>
      <c r="E42" s="39" t="s">
        <v>10</v>
      </c>
      <c r="F42" s="48" t="s">
        <v>10</v>
      </c>
      <c r="G42" s="39" t="s">
        <v>9</v>
      </c>
      <c r="H42" s="48" t="s">
        <v>9</v>
      </c>
      <c r="I42" s="39" t="s">
        <v>8</v>
      </c>
      <c r="J42" s="48" t="s">
        <v>8</v>
      </c>
    </row>
    <row r="43" spans="2:10" s="36" customFormat="1" ht="36" x14ac:dyDescent="0.2">
      <c r="B43" s="53" t="s">
        <v>7</v>
      </c>
      <c r="C43" s="48" t="s">
        <v>6</v>
      </c>
      <c r="D43" s="49"/>
      <c r="E43" s="92" t="s">
        <v>5</v>
      </c>
      <c r="F43" s="93"/>
      <c r="G43" s="94" t="s">
        <v>4</v>
      </c>
      <c r="H43" s="95"/>
      <c r="I43" s="94" t="s">
        <v>3</v>
      </c>
      <c r="J43" s="95"/>
    </row>
    <row r="44" spans="2:10" s="36" customFormat="1" x14ac:dyDescent="0.2">
      <c r="B44" s="53" t="s">
        <v>2</v>
      </c>
      <c r="C44" s="48" t="s">
        <v>0</v>
      </c>
      <c r="D44" s="49"/>
      <c r="E44" s="39">
        <v>9.8000000000000007</v>
      </c>
      <c r="F44" s="54">
        <v>9.8000000000000007</v>
      </c>
      <c r="G44" s="39">
        <v>12.7</v>
      </c>
      <c r="H44" s="54">
        <v>12.7</v>
      </c>
      <c r="I44" s="39">
        <v>15</v>
      </c>
      <c r="J44" s="54">
        <v>15</v>
      </c>
    </row>
    <row r="45" spans="2:10" s="36" customFormat="1" x14ac:dyDescent="0.2">
      <c r="B45" s="53" t="s">
        <v>1</v>
      </c>
      <c r="C45" s="48" t="s">
        <v>0</v>
      </c>
      <c r="D45" s="49"/>
      <c r="E45" s="39">
        <v>11.6</v>
      </c>
      <c r="F45" s="54">
        <v>11.6</v>
      </c>
      <c r="G45" s="39">
        <v>14.7</v>
      </c>
      <c r="H45" s="54">
        <v>14.7</v>
      </c>
      <c r="I45" s="39">
        <v>17.8</v>
      </c>
      <c r="J45" s="54">
        <v>17.8</v>
      </c>
    </row>
    <row r="46" spans="2:10" s="36" customFormat="1" x14ac:dyDescent="0.2">
      <c r="B46" s="55"/>
    </row>
    <row r="47" spans="2:10" s="36" customFormat="1" x14ac:dyDescent="0.2">
      <c r="B47" s="55"/>
    </row>
  </sheetData>
  <sheetProtection algorithmName="SHA-512" hashValue="nc8AkTUq2Yz2ukQdgG8kg+B8kqrfecrTd9X8Gpz2I0qyM06JXDaPLLoYc7r9MCKPBgeSIl3sc0AZTBVd4ayVJQ==" saltValue="r61SXqqlGWppRTuI+IrQjw==" spinCount="100000" sheet="1" formatCells="0" formatColumns="0" formatRows="0" insertColumns="0" insertRows="0" insertHyperlinks="0" deleteColumns="0" deleteRows="0" sort="0" autoFilter="0" pivotTables="0"/>
  <mergeCells count="33">
    <mergeCell ref="B35:D35"/>
    <mergeCell ref="E35:J35"/>
    <mergeCell ref="B37:D37"/>
    <mergeCell ref="E37:J37"/>
    <mergeCell ref="B38:D38"/>
    <mergeCell ref="E41:J41"/>
    <mergeCell ref="E43:F43"/>
    <mergeCell ref="G43:H43"/>
    <mergeCell ref="I43:J43"/>
    <mergeCell ref="E34:J34"/>
    <mergeCell ref="B41:D41"/>
    <mergeCell ref="E33:J33"/>
    <mergeCell ref="B34:D34"/>
    <mergeCell ref="B15:B17"/>
    <mergeCell ref="D6:H7"/>
    <mergeCell ref="E8:H8"/>
    <mergeCell ref="B11:D11"/>
    <mergeCell ref="B12:B14"/>
    <mergeCell ref="C12:C14"/>
    <mergeCell ref="B18:B20"/>
    <mergeCell ref="E38:J38"/>
    <mergeCell ref="B36:D36"/>
    <mergeCell ref="E36:J36"/>
    <mergeCell ref="B39:D39"/>
    <mergeCell ref="E39:J39"/>
    <mergeCell ref="E40:J40"/>
    <mergeCell ref="B31:B32"/>
    <mergeCell ref="C31:C32"/>
    <mergeCell ref="B21:B23"/>
    <mergeCell ref="B24:D24"/>
    <mergeCell ref="E24:J24"/>
    <mergeCell ref="B27:B29"/>
    <mergeCell ref="C27:C29"/>
  </mergeCells>
  <conditionalFormatting sqref="E15:J20">
    <cfRule type="cellIs" dxfId="1" priority="1" operator="between">
      <formula>$Y$4</formula>
      <formula>$Y$5</formula>
    </cfRule>
  </conditionalFormatting>
  <conditionalFormatting sqref="E21:J23">
    <cfRule type="cellIs" dxfId="0" priority="2" operator="between">
      <formula>$Y$4</formula>
      <formula>$Y$5</formula>
    </cfRule>
  </conditionalFormatting>
  <printOptions horizontalCentered="1"/>
  <pageMargins left="0.39370078740157483" right="0.39370078740157483" top="0.39370078740157483" bottom="0.35433070866141736" header="0.31496062992125984" footer="0.31496062992125984"/>
  <pageSetup scale="76" orientation="landscape" verticalDpi="0" r:id="rId1"/>
  <ignoredErrors>
    <ignoredError sqref="E11:J26 E30:J30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HWF Select</vt:lpstr>
      <vt:lpstr>'HWF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Pardavimai</cp:lastModifiedBy>
  <dcterms:created xsi:type="dcterms:W3CDTF">2026-01-10T19:45:25Z</dcterms:created>
  <dcterms:modified xsi:type="dcterms:W3CDTF">2026-04-17T06:06:21Z</dcterms:modified>
</cp:coreProperties>
</file>