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"/>
    </mc:Choice>
  </mc:AlternateContent>
  <xr:revisionPtr revIDLastSave="193" documentId="8_{F0C5F3FA-0C3E-4717-BB03-FE78ACCFFEC9}" xr6:coauthVersionLast="47" xr6:coauthVersionMax="47" xr10:uidLastSave="{8D7E1E7E-62B9-48CF-AB56-3C1A48224D25}"/>
  <bookViews>
    <workbookView xWindow="1215" yWindow="1170" windowWidth="17130" windowHeight="14865" xr2:uid="{47055A7C-4886-49AC-B27F-5626666B0721}"/>
  </bookViews>
  <sheets>
    <sheet name="C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'CF select'!$B$2:$N$94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" i="1" l="1"/>
  <c r="W5" i="1"/>
  <c r="W4" i="1"/>
  <c r="N19" i="1" s="1"/>
  <c r="N21" i="1" s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5" i="1"/>
  <c r="H55" i="1"/>
  <c r="I55" i="1"/>
  <c r="J55" i="1"/>
  <c r="K55" i="1"/>
  <c r="L55" i="1"/>
  <c r="M55" i="1"/>
  <c r="N55" i="1"/>
  <c r="G70" i="1"/>
  <c r="H70" i="1"/>
  <c r="I70" i="1"/>
  <c r="J70" i="1"/>
  <c r="K70" i="1"/>
  <c r="L70" i="1"/>
  <c r="M70" i="1"/>
  <c r="N70" i="1"/>
  <c r="N20" i="1" l="1"/>
  <c r="N16" i="1"/>
  <c r="N17" i="1" s="1"/>
  <c r="K65" i="1"/>
  <c r="K66" i="1" s="1"/>
  <c r="N62" i="1"/>
  <c r="N59" i="1" s="1"/>
  <c r="E22" i="1"/>
  <c r="E24" i="1" s="1"/>
  <c r="H62" i="1"/>
  <c r="H59" i="1" s="1"/>
  <c r="J22" i="1"/>
  <c r="J24" i="1" s="1"/>
  <c r="I22" i="1"/>
  <c r="I24" i="1" s="1"/>
  <c r="H22" i="1"/>
  <c r="H23" i="1" s="1"/>
  <c r="N22" i="1"/>
  <c r="N24" i="1" s="1"/>
  <c r="I62" i="1"/>
  <c r="I64" i="1" s="1"/>
  <c r="F16" i="1"/>
  <c r="G22" i="1"/>
  <c r="G24" i="1" s="1"/>
  <c r="F22" i="1"/>
  <c r="F23" i="1" s="1"/>
  <c r="N65" i="1"/>
  <c r="N67" i="1" s="1"/>
  <c r="M22" i="1"/>
  <c r="M23" i="1" s="1"/>
  <c r="J62" i="1"/>
  <c r="J64" i="1" s="1"/>
  <c r="M65" i="1"/>
  <c r="M67" i="1" s="1"/>
  <c r="L22" i="1"/>
  <c r="L24" i="1" s="1"/>
  <c r="K62" i="1"/>
  <c r="K64" i="1" s="1"/>
  <c r="M62" i="1"/>
  <c r="M59" i="1" s="1"/>
  <c r="J65" i="1"/>
  <c r="J67" i="1" s="1"/>
  <c r="I65" i="1"/>
  <c r="I66" i="1" s="1"/>
  <c r="H65" i="1"/>
  <c r="G65" i="1"/>
  <c r="G62" i="1"/>
  <c r="G59" i="1" s="1"/>
  <c r="L65" i="1"/>
  <c r="L66" i="1" s="1"/>
  <c r="K22" i="1"/>
  <c r="K24" i="1" s="1"/>
  <c r="L62" i="1"/>
  <c r="L63" i="1" s="1"/>
  <c r="E19" i="1"/>
  <c r="F19" i="1"/>
  <c r="G19" i="1"/>
  <c r="H19" i="1"/>
  <c r="I19" i="1"/>
  <c r="J19" i="1"/>
  <c r="K19" i="1"/>
  <c r="L19" i="1"/>
  <c r="M19" i="1"/>
  <c r="N64" i="1" l="1"/>
  <c r="J21" i="1"/>
  <c r="J20" i="1"/>
  <c r="M16" i="1"/>
  <c r="M21" i="1"/>
  <c r="M20" i="1"/>
  <c r="L16" i="1"/>
  <c r="L17" i="1" s="1"/>
  <c r="L20" i="1"/>
  <c r="L21" i="1"/>
  <c r="K16" i="1"/>
  <c r="K18" i="1" s="1"/>
  <c r="K20" i="1"/>
  <c r="K21" i="1"/>
  <c r="I21" i="1"/>
  <c r="I20" i="1"/>
  <c r="M61" i="1"/>
  <c r="M60" i="1"/>
  <c r="H60" i="1"/>
  <c r="H61" i="1"/>
  <c r="G61" i="1"/>
  <c r="G60" i="1"/>
  <c r="H21" i="1"/>
  <c r="H20" i="1"/>
  <c r="G21" i="1"/>
  <c r="G20" i="1"/>
  <c r="N61" i="1"/>
  <c r="N60" i="1"/>
  <c r="F20" i="1"/>
  <c r="F21" i="1"/>
  <c r="E21" i="1"/>
  <c r="E20" i="1"/>
  <c r="N66" i="1"/>
  <c r="G16" i="1"/>
  <c r="M64" i="1"/>
  <c r="M63" i="1"/>
  <c r="H16" i="1"/>
  <c r="H17" i="1" s="1"/>
  <c r="K67" i="1"/>
  <c r="M18" i="1"/>
  <c r="M17" i="1"/>
  <c r="I59" i="1"/>
  <c r="E16" i="1"/>
  <c r="E17" i="1" s="1"/>
  <c r="I67" i="1"/>
  <c r="J16" i="1"/>
  <c r="J18" i="1" s="1"/>
  <c r="J59" i="1"/>
  <c r="J66" i="1"/>
  <c r="I16" i="1"/>
  <c r="I18" i="1" s="1"/>
  <c r="K59" i="1"/>
  <c r="L59" i="1"/>
  <c r="F24" i="1"/>
  <c r="G23" i="1"/>
  <c r="I23" i="1"/>
  <c r="J23" i="1"/>
  <c r="L18" i="1"/>
  <c r="J63" i="1"/>
  <c r="E23" i="1"/>
  <c r="N18" i="1"/>
  <c r="K63" i="1"/>
  <c r="N23" i="1"/>
  <c r="G67" i="1"/>
  <c r="G66" i="1"/>
  <c r="M24" i="1"/>
  <c r="H67" i="1"/>
  <c r="H66" i="1"/>
  <c r="L23" i="1"/>
  <c r="M66" i="1"/>
  <c r="H24" i="1"/>
  <c r="K23" i="1"/>
  <c r="L67" i="1"/>
  <c r="N63" i="1"/>
  <c r="L64" i="1"/>
  <c r="K17" i="1"/>
  <c r="I63" i="1"/>
  <c r="H63" i="1"/>
  <c r="H64" i="1"/>
  <c r="G18" i="1"/>
  <c r="G17" i="1"/>
  <c r="G64" i="1"/>
  <c r="G63" i="1"/>
  <c r="F17" i="1"/>
  <c r="F18" i="1"/>
  <c r="J61" i="1" l="1"/>
  <c r="J60" i="1"/>
  <c r="L61" i="1"/>
  <c r="L60" i="1"/>
  <c r="K61" i="1"/>
  <c r="K60" i="1"/>
  <c r="I60" i="1"/>
  <c r="I61" i="1"/>
  <c r="H18" i="1"/>
  <c r="E18" i="1"/>
  <c r="J17" i="1"/>
  <c r="I17" i="1"/>
</calcChain>
</file>

<file path=xl/sharedStrings.xml><?xml version="1.0" encoding="utf-8"?>
<sst xmlns="http://schemas.openxmlformats.org/spreadsheetml/2006/main" count="200" uniqueCount="78">
  <si>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</si>
  <si>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</si>
  <si>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</si>
  <si>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</si>
  <si>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</si>
  <si>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</si>
  <si>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</si>
  <si>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</si>
  <si>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</si>
  <si>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</si>
  <si>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</si>
  <si>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</si>
  <si>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</si>
  <si>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</si>
  <si>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</si>
  <si>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</si>
  <si>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</si>
  <si>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</si>
  <si>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</si>
  <si>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</si>
  <si>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</si>
  <si>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</si>
  <si>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</si>
  <si>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</si>
  <si>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</si>
  <si>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</si>
  <si>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</si>
  <si>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</si>
  <si>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</si>
  <si>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</si>
  <si>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</si>
  <si>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</si>
  <si>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</si>
  <si>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</si>
  <si>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</si>
  <si>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</si>
  <si>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</si>
  <si>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</si>
  <si>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</si>
  <si>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</si>
  <si>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</si>
  <si>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</si>
  <si>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</si>
  <si>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</si>
  <si>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</si>
  <si>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Water Pressure loss</t>
  </si>
  <si>
    <t>l/h</t>
  </si>
  <si>
    <t>Water Flow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</si>
  <si>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</si>
  <si>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</si>
  <si>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</si>
  <si>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</si>
  <si>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</si>
  <si>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</si>
  <si>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</si>
  <si>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</si>
  <si>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</si>
  <si>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</si>
  <si>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</si>
  <si>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</si>
  <si>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</si>
  <si>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</si>
  <si>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</si>
  <si>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</si>
  <si>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</si>
  <si>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4-pipe system</t>
  </si>
  <si>
    <t>2 - pipes</t>
  </si>
  <si>
    <t>2-pipe system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</si>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</sst>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1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5" fillId="0" borderId="24" xfId="1" applyFont="1" applyBorder="1" applyAlignment="1" applyProtection="1">
      <alignment horizontal="center" vertical="center"/>
      <protection locked="0" hidden="1"/>
    </xf>
    <xf numFmtId="0" fontId="5" fillId="0" borderId="23" xfId="1" applyFont="1" applyBorder="1" applyAlignment="1" applyProtection="1">
      <alignment horizontal="center" vertical="center"/>
      <protection locked="0" hidden="1"/>
    </xf>
    <xf numFmtId="0" fontId="2" fillId="0" borderId="14" xfId="0" applyFont="1" applyBorder="1" applyAlignment="1" applyProtection="1">
      <alignment vertical="top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27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6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</cellXfs>
  <cellStyles count="4">
    <cellStyle name="Įprastas" xfId="0" builtinId="0"/>
    <cellStyle name="Įprastas 2" xfId="3" xr:uid="{C719E6B8-FB18-4634-AF25-C4710B6A8A8C}"/>
    <cellStyle name="Normal 2" xfId="1" xr:uid="{63DF8B45-2385-4CDC-83F9-0708947FA393}"/>
    <cellStyle name="Percent 2" xfId="2" xr:uid="{D5065152-9A19-42B3-B89A-8837FA54CE75}"/>
  </cellStyles>
  <dxfs count="2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95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54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95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5"/>
  <sheetViews>
    <sheetView tabSelected="1" zoomScale="90" zoomScaleNormal="90" zoomScaleSheetLayoutView="85" workbookViewId="0">
      <selection activeCell="N5" sqref="N5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4" width="17.44140625" style="63" customWidth="1"/>
    <col min="15" max="21" width="8.77734375" style="10"/>
    <col min="22" max="23" width="0" style="10" hidden="1" customWidth="1"/>
    <col min="24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77</v>
      </c>
      <c r="N3" s="4">
        <v>7</v>
      </c>
      <c r="O3" s="9"/>
      <c r="T3" s="9"/>
      <c r="U3" s="9"/>
      <c r="V3" s="9" t="s">
        <v>76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75</v>
      </c>
      <c r="N4" s="4">
        <v>12</v>
      </c>
      <c r="O4" s="9"/>
      <c r="T4" s="9"/>
      <c r="U4" s="9"/>
      <c r="V4" s="9" t="s">
        <v>74</v>
      </c>
      <c r="W4" s="15">
        <f>IF((N5-(N4+N3)/2)&lt;0, 0-(N5-(N4+N3)/2),(N5-(N4+N3)/2))</f>
        <v>17.5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73</v>
      </c>
      <c r="N5" s="4">
        <v>27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121" t="s">
        <v>72</v>
      </c>
      <c r="H6" s="121"/>
      <c r="I6" s="121"/>
      <c r="J6" s="121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121"/>
      <c r="H7" s="121"/>
      <c r="I7" s="121"/>
      <c r="J7" s="121"/>
      <c r="K7" s="18"/>
      <c r="L7" s="13"/>
      <c r="M7" s="14" t="s">
        <v>71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122" t="s">
        <v>70</v>
      </c>
      <c r="H8" s="122"/>
      <c r="I8" s="122"/>
      <c r="J8" s="122"/>
      <c r="K8" s="20"/>
      <c r="L8" s="13"/>
      <c r="M8" s="14" t="s">
        <v>69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68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6"/>
      <c r="H10" s="109" t="s">
        <v>67</v>
      </c>
      <c r="I10" s="110"/>
      <c r="J10" s="20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114" t="s">
        <v>64</v>
      </c>
      <c r="C12" s="114"/>
      <c r="D12" s="114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98" t="s">
        <v>63</v>
      </c>
      <c r="C13" s="115" t="s">
        <v>62</v>
      </c>
      <c r="D13" s="23" t="s">
        <v>50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100"/>
      <c r="C14" s="116"/>
      <c r="D14" s="27" t="s">
        <v>49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101"/>
      <c r="C15" s="117"/>
      <c r="D15" s="31" t="s">
        <v>48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x14ac:dyDescent="0.25">
      <c r="B16" s="98" t="s">
        <v>61</v>
      </c>
      <c r="C16" s="115" t="s">
        <v>55</v>
      </c>
      <c r="D16" s="23" t="s">
        <v>50</v>
      </c>
      <c r="E16" s="35">
        <f>IF($W$3&gt;0,"",IF($W$4&gt;13.5,249.64*$W$4-2569.2,E19))</f>
        <v>1799.5</v>
      </c>
      <c r="F16" s="36">
        <f>IF($W$3&gt;0,"",IF($W$4&gt;13.5,365.41*$W$4-3703.6,F19))</f>
        <v>2691.0750000000003</v>
      </c>
      <c r="G16" s="35">
        <f>IF($W$3&gt;0,"",IF($W$4&gt;13.5,470.14*$W$4-4629.3,G19))</f>
        <v>3598.1499999999987</v>
      </c>
      <c r="H16" s="36">
        <f>IF($W$3&gt;0,"",IF($W$4&gt;13.5,577.05*$W$4-5553.1,H19))</f>
        <v>4545.2749999999996</v>
      </c>
      <c r="I16" s="35">
        <f>IF($W$3&gt;0,"",IF($W$4&gt;13.5,712.74*$W$4-7020.4,I19))</f>
        <v>5452.5500000000011</v>
      </c>
      <c r="J16" s="36">
        <f>IF($W$3&gt;0,"",IF($W$4&gt;13.5,946.65*$W$4-9338.8,J19))</f>
        <v>7227.5750000000007</v>
      </c>
      <c r="K16" s="35">
        <f>IF($W$3&gt;0,"",IF($W$4&gt;13.5,1153.3*$W$4-11098,K19))</f>
        <v>9084.75</v>
      </c>
      <c r="L16" s="36">
        <f>IF($W$3&gt;0,"",IF($W$4&gt;13.5,1351.1*$W$4-12746,L19))</f>
        <v>10898.25</v>
      </c>
      <c r="M16" s="35">
        <f>IF($W$3&gt;0,"",IF($W$4&gt;13.5,1634.9*$W$4-16039,M19))</f>
        <v>12571.75</v>
      </c>
      <c r="N16" s="37">
        <f>IF($W$3&gt;0,"",IF($W$4&gt;13.5,1937.2*$W$4-18667,N19))</f>
        <v>15234</v>
      </c>
    </row>
    <row r="17" spans="2:43" x14ac:dyDescent="0.25">
      <c r="B17" s="100"/>
      <c r="C17" s="116"/>
      <c r="D17" s="27" t="s">
        <v>49</v>
      </c>
      <c r="E17" s="38">
        <f t="shared" ref="E17:N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38">
        <f t="shared" si="1"/>
        <v>10057</v>
      </c>
      <c r="N17" s="40">
        <f t="shared" si="1"/>
        <v>12187</v>
      </c>
    </row>
    <row r="18" spans="2:43" ht="18" thickBot="1" x14ac:dyDescent="0.3">
      <c r="B18" s="101"/>
      <c r="C18" s="117"/>
      <c r="D18" s="31" t="s">
        <v>48</v>
      </c>
      <c r="E18" s="41">
        <f t="shared" ref="E18:N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41">
        <f t="shared" si="2"/>
        <v>7543</v>
      </c>
      <c r="N18" s="43">
        <f t="shared" si="2"/>
        <v>9140</v>
      </c>
    </row>
    <row r="19" spans="2:43" x14ac:dyDescent="0.25">
      <c r="B19" s="98" t="s">
        <v>60</v>
      </c>
      <c r="C19" s="115" t="s">
        <v>55</v>
      </c>
      <c r="D19" s="23" t="s">
        <v>50</v>
      </c>
      <c r="E19" s="35">
        <f>IF($W$3&lt;0,92.946*$W$4-256.47,"")</f>
        <v>1370.085</v>
      </c>
      <c r="F19" s="36">
        <f>IF($W$3&lt;0,140.54*$W$4-431.52,"")</f>
        <v>2027.9299999999998</v>
      </c>
      <c r="G19" s="35">
        <f>IF($W$3&lt;0,182.68*$W$4-520.71,"")</f>
        <v>2676.19</v>
      </c>
      <c r="H19" s="36">
        <f>IF($W$3&lt;0,222.32*$W$4-557.41,"")</f>
        <v>3333.19</v>
      </c>
      <c r="I19" s="35">
        <f>IF($W$3&lt;0,273.04*$W$4-730.89,"")</f>
        <v>4047.3100000000009</v>
      </c>
      <c r="J19" s="36">
        <f>IF($W$3&lt;0,370.27*$W$4-1072,"")</f>
        <v>5407.7249999999995</v>
      </c>
      <c r="K19" s="35">
        <f>IF($W$3&lt;0,445.98*$W$4-1117.4,"")</f>
        <v>6687.25</v>
      </c>
      <c r="L19" s="36">
        <f>IF($W$3&lt;0,528.48*$W$4-1284.9,"")</f>
        <v>7963.5</v>
      </c>
      <c r="M19" s="35">
        <f>IF($W$3&lt;0,625.27*$W$4-1683.3,"")</f>
        <v>9258.9250000000011</v>
      </c>
      <c r="N19" s="37">
        <f>IF($W$3&lt;0,745.27*$W$4-1880.8,"")</f>
        <v>11161.425000000001</v>
      </c>
    </row>
    <row r="20" spans="2:43" x14ac:dyDescent="0.25">
      <c r="B20" s="100"/>
      <c r="C20" s="116"/>
      <c r="D20" s="27" t="s">
        <v>49</v>
      </c>
      <c r="E20" s="38">
        <f t="shared" ref="E20:N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38">
        <f t="shared" si="3"/>
        <v>7407</v>
      </c>
      <c r="N20" s="40">
        <f t="shared" si="3"/>
        <v>8929</v>
      </c>
    </row>
    <row r="21" spans="2:43" ht="18" thickBot="1" x14ac:dyDescent="0.3">
      <c r="B21" s="101"/>
      <c r="C21" s="117"/>
      <c r="D21" s="31" t="s">
        <v>48</v>
      </c>
      <c r="E21" s="41">
        <f t="shared" ref="E21:N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41">
        <f t="shared" si="4"/>
        <v>5555</v>
      </c>
      <c r="N21" s="43">
        <f t="shared" si="4"/>
        <v>6697</v>
      </c>
    </row>
    <row r="22" spans="2:43" x14ac:dyDescent="0.25">
      <c r="B22" s="98" t="s">
        <v>59</v>
      </c>
      <c r="C22" s="115" t="s">
        <v>55</v>
      </c>
      <c r="D22" s="23" t="s">
        <v>50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100"/>
      <c r="C23" s="116"/>
      <c r="D23" s="27" t="s">
        <v>49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101"/>
      <c r="C24" s="117"/>
      <c r="D24" s="31" t="s">
        <v>48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5" customFormat="1" x14ac:dyDescent="0.25">
      <c r="B25" s="123" t="s">
        <v>58</v>
      </c>
      <c r="C25" s="124"/>
      <c r="D25" s="125"/>
      <c r="E25" s="126" t="s">
        <v>57</v>
      </c>
      <c r="F25" s="126"/>
      <c r="G25" s="126"/>
      <c r="H25" s="126"/>
      <c r="I25" s="126"/>
      <c r="J25" s="126"/>
      <c r="K25" s="126"/>
      <c r="L25" s="126"/>
      <c r="M25" s="126"/>
      <c r="N25" s="126"/>
      <c r="AQ25" s="46"/>
    </row>
    <row r="26" spans="2:43" s="45" customFormat="1" x14ac:dyDescent="0.25">
      <c r="B26" s="47" t="s">
        <v>56</v>
      </c>
      <c r="C26" s="27" t="s">
        <v>55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6"/>
    </row>
    <row r="27" spans="2:43" s="45" customFormat="1" x14ac:dyDescent="0.25">
      <c r="B27" s="47" t="s">
        <v>54</v>
      </c>
      <c r="C27" s="27" t="s">
        <v>53</v>
      </c>
      <c r="D27" s="21"/>
      <c r="E27" s="48">
        <f t="shared" ref="E27:N27" si="7">E26/230</f>
        <v>0.15652173913043479</v>
      </c>
      <c r="F27" s="49">
        <f t="shared" si="7"/>
        <v>0.21739130434782608</v>
      </c>
      <c r="G27" s="48">
        <f t="shared" si="7"/>
        <v>0.2608695652173913</v>
      </c>
      <c r="H27" s="49">
        <f t="shared" si="7"/>
        <v>0.32173913043478258</v>
      </c>
      <c r="I27" s="48">
        <f t="shared" si="7"/>
        <v>0.40434782608695652</v>
      </c>
      <c r="J27" s="49">
        <f t="shared" si="7"/>
        <v>0.56521739130434778</v>
      </c>
      <c r="K27" s="48">
        <f t="shared" si="7"/>
        <v>0.63913043478260867</v>
      </c>
      <c r="L27" s="49">
        <f t="shared" si="7"/>
        <v>0.79565217391304344</v>
      </c>
      <c r="M27" s="48">
        <f t="shared" si="7"/>
        <v>0.96086956521739131</v>
      </c>
      <c r="N27" s="49">
        <f t="shared" si="7"/>
        <v>1.4347826086956521</v>
      </c>
      <c r="AQ27" s="46"/>
    </row>
    <row r="28" spans="2:43" x14ac:dyDescent="0.25">
      <c r="B28" s="127" t="s">
        <v>52</v>
      </c>
      <c r="C28" s="114" t="s">
        <v>51</v>
      </c>
      <c r="D28" s="27" t="s">
        <v>50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  <c r="N28" s="51">
        <v>57</v>
      </c>
    </row>
    <row r="29" spans="2:43" x14ac:dyDescent="0.25">
      <c r="B29" s="128"/>
      <c r="C29" s="116"/>
      <c r="D29" s="27" t="s">
        <v>49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  <c r="N29" s="51">
        <v>53</v>
      </c>
    </row>
    <row r="30" spans="2:43" x14ac:dyDescent="0.25">
      <c r="B30" s="129"/>
      <c r="C30" s="130"/>
      <c r="D30" s="27" t="s">
        <v>48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  <c r="N30" s="51">
        <v>48</v>
      </c>
    </row>
    <row r="31" spans="2:43" x14ac:dyDescent="0.25">
      <c r="B31" s="53" t="s">
        <v>47</v>
      </c>
      <c r="C31" s="27" t="s">
        <v>46</v>
      </c>
      <c r="D31" s="52"/>
      <c r="E31" s="28">
        <v>320</v>
      </c>
      <c r="F31" s="29">
        <v>500</v>
      </c>
      <c r="G31" s="28">
        <v>610</v>
      </c>
      <c r="H31" s="29">
        <v>780</v>
      </c>
      <c r="I31" s="28">
        <v>940</v>
      </c>
      <c r="J31" s="29">
        <v>1200</v>
      </c>
      <c r="K31" s="28">
        <v>1650</v>
      </c>
      <c r="L31" s="29">
        <v>1850</v>
      </c>
      <c r="M31" s="28">
        <v>2150</v>
      </c>
      <c r="N31" s="29">
        <v>2640</v>
      </c>
    </row>
    <row r="32" spans="2:43" x14ac:dyDescent="0.25">
      <c r="B32" s="53" t="s">
        <v>45</v>
      </c>
      <c r="C32" s="27" t="s">
        <v>43</v>
      </c>
      <c r="D32" s="27"/>
      <c r="E32" s="28">
        <v>30</v>
      </c>
      <c r="F32" s="29">
        <v>30</v>
      </c>
      <c r="G32" s="28">
        <v>30</v>
      </c>
      <c r="H32" s="29">
        <v>30</v>
      </c>
      <c r="I32" s="28">
        <v>40</v>
      </c>
      <c r="J32" s="29">
        <v>40</v>
      </c>
      <c r="K32" s="28">
        <v>40</v>
      </c>
      <c r="L32" s="29">
        <v>40</v>
      </c>
      <c r="M32" s="28">
        <v>50</v>
      </c>
      <c r="N32" s="29">
        <v>50</v>
      </c>
    </row>
    <row r="33" spans="2:43" s="45" customFormat="1" x14ac:dyDescent="0.25">
      <c r="B33" s="54" t="s">
        <v>41</v>
      </c>
      <c r="C33" s="27" t="s">
        <v>40</v>
      </c>
      <c r="D33" s="55"/>
      <c r="E33" s="84">
        <v>1.6</v>
      </c>
      <c r="F33" s="84"/>
      <c r="G33" s="84"/>
      <c r="H33" s="84"/>
      <c r="I33" s="84"/>
      <c r="J33" s="84"/>
      <c r="K33" s="84"/>
      <c r="L33" s="84"/>
      <c r="M33" s="84"/>
      <c r="N33" s="84"/>
      <c r="AQ33" s="46"/>
    </row>
    <row r="34" spans="2:43" s="45" customFormat="1" x14ac:dyDescent="0.25">
      <c r="B34" s="118" t="s">
        <v>39</v>
      </c>
      <c r="C34" s="119"/>
      <c r="D34" s="120"/>
      <c r="E34" s="84" t="s">
        <v>38</v>
      </c>
      <c r="F34" s="84"/>
      <c r="G34" s="84"/>
      <c r="H34" s="84"/>
      <c r="I34" s="84"/>
      <c r="J34" s="84"/>
      <c r="K34" s="84"/>
      <c r="L34" s="84"/>
      <c r="M34" s="84"/>
      <c r="N34" s="84"/>
      <c r="AQ34" s="46"/>
    </row>
    <row r="35" spans="2:43" s="45" customFormat="1" x14ac:dyDescent="0.25">
      <c r="B35" s="85" t="s">
        <v>37</v>
      </c>
      <c r="C35" s="85"/>
      <c r="D35" s="85"/>
      <c r="E35" s="83" t="s">
        <v>36</v>
      </c>
      <c r="F35" s="84"/>
      <c r="G35" s="84"/>
      <c r="H35" s="84"/>
      <c r="I35" s="84"/>
      <c r="J35" s="84"/>
      <c r="K35" s="84"/>
      <c r="L35" s="84"/>
      <c r="M35" s="84"/>
      <c r="N35" s="84"/>
      <c r="AQ35" s="46"/>
    </row>
    <row r="36" spans="2:43" s="45" customFormat="1" x14ac:dyDescent="0.25">
      <c r="B36" s="85" t="s">
        <v>35</v>
      </c>
      <c r="C36" s="85"/>
      <c r="D36" s="85"/>
      <c r="E36" s="84" t="s">
        <v>34</v>
      </c>
      <c r="F36" s="84"/>
      <c r="G36" s="84"/>
      <c r="H36" s="84"/>
      <c r="I36" s="84"/>
      <c r="J36" s="84"/>
      <c r="K36" s="84"/>
      <c r="L36" s="84"/>
      <c r="M36" s="84"/>
      <c r="N36" s="84"/>
      <c r="AQ36" s="46"/>
    </row>
    <row r="37" spans="2:43" s="45" customFormat="1" x14ac:dyDescent="0.25">
      <c r="B37" s="85" t="s">
        <v>33</v>
      </c>
      <c r="C37" s="85"/>
      <c r="D37" s="85"/>
      <c r="E37" s="113" t="s">
        <v>66</v>
      </c>
      <c r="F37" s="113"/>
      <c r="G37" s="113"/>
      <c r="H37" s="113"/>
      <c r="I37" s="113"/>
      <c r="J37" s="113"/>
      <c r="K37" s="113"/>
      <c r="L37" s="113"/>
      <c r="M37" s="113"/>
      <c r="N37" s="113"/>
      <c r="AQ37" s="46"/>
    </row>
    <row r="38" spans="2:43" s="45" customFormat="1" x14ac:dyDescent="0.25">
      <c r="B38" s="85" t="s">
        <v>31</v>
      </c>
      <c r="C38" s="85"/>
      <c r="D38" s="85"/>
      <c r="E38" s="84" t="s">
        <v>30</v>
      </c>
      <c r="F38" s="84"/>
      <c r="G38" s="84"/>
      <c r="H38" s="84"/>
      <c r="I38" s="84"/>
      <c r="J38" s="84"/>
      <c r="K38" s="84"/>
      <c r="L38" s="84"/>
      <c r="M38" s="84"/>
      <c r="N38" s="84"/>
      <c r="AQ38" s="46"/>
    </row>
    <row r="39" spans="2:43" s="45" customFormat="1" x14ac:dyDescent="0.25">
      <c r="B39" s="85" t="s">
        <v>29</v>
      </c>
      <c r="C39" s="85"/>
      <c r="D39" s="85"/>
      <c r="E39" s="84" t="s">
        <v>28</v>
      </c>
      <c r="F39" s="84"/>
      <c r="G39" s="84"/>
      <c r="H39" s="84"/>
      <c r="I39" s="84"/>
      <c r="J39" s="84"/>
      <c r="K39" s="84"/>
      <c r="L39" s="84"/>
      <c r="M39" s="84"/>
      <c r="N39" s="84"/>
      <c r="AQ39" s="46"/>
    </row>
    <row r="40" spans="2:43" s="45" customFormat="1" x14ac:dyDescent="0.25">
      <c r="B40" s="47" t="s">
        <v>27</v>
      </c>
      <c r="C40" s="55" t="s">
        <v>9</v>
      </c>
      <c r="D40" s="47"/>
      <c r="E40" s="84" t="s">
        <v>26</v>
      </c>
      <c r="F40" s="84"/>
      <c r="G40" s="84"/>
      <c r="H40" s="84"/>
      <c r="I40" s="84"/>
      <c r="J40" s="84"/>
      <c r="K40" s="84"/>
      <c r="L40" s="84"/>
      <c r="M40" s="84"/>
      <c r="N40" s="84"/>
      <c r="AQ40" s="46"/>
    </row>
    <row r="41" spans="2:43" s="45" customFormat="1" x14ac:dyDescent="0.25">
      <c r="B41" s="86" t="s">
        <v>25</v>
      </c>
      <c r="C41" s="86"/>
      <c r="D41" s="86"/>
      <c r="E41" s="84" t="s">
        <v>24</v>
      </c>
      <c r="F41" s="84"/>
      <c r="G41" s="84"/>
      <c r="H41" s="84"/>
      <c r="I41" s="84"/>
      <c r="J41" s="84"/>
      <c r="K41" s="84"/>
      <c r="L41" s="84"/>
      <c r="M41" s="84"/>
      <c r="N41" s="84"/>
      <c r="AQ41" s="46"/>
    </row>
    <row r="42" spans="2:43" x14ac:dyDescent="0.25">
      <c r="B42" s="86" t="s">
        <v>23</v>
      </c>
      <c r="C42" s="27" t="s">
        <v>9</v>
      </c>
      <c r="D42" s="27" t="s">
        <v>2</v>
      </c>
      <c r="E42" s="84" t="s">
        <v>22</v>
      </c>
      <c r="F42" s="84"/>
      <c r="G42" s="84"/>
      <c r="H42" s="84" t="s">
        <v>21</v>
      </c>
      <c r="I42" s="84"/>
      <c r="J42" s="84"/>
      <c r="K42" s="84" t="s">
        <v>20</v>
      </c>
      <c r="L42" s="84"/>
      <c r="M42" s="84"/>
      <c r="N42" s="56" t="s">
        <v>19</v>
      </c>
    </row>
    <row r="43" spans="2:43" x14ac:dyDescent="0.25">
      <c r="B43" s="86"/>
      <c r="C43" s="27" t="s">
        <v>9</v>
      </c>
      <c r="D43" s="27" t="s">
        <v>0</v>
      </c>
      <c r="E43" s="84" t="s">
        <v>18</v>
      </c>
      <c r="F43" s="84"/>
      <c r="G43" s="84"/>
      <c r="H43" s="84" t="s">
        <v>17</v>
      </c>
      <c r="I43" s="84"/>
      <c r="J43" s="84"/>
      <c r="K43" s="84" t="s">
        <v>16</v>
      </c>
      <c r="L43" s="84"/>
      <c r="M43" s="84"/>
      <c r="N43" s="56" t="s">
        <v>15</v>
      </c>
    </row>
    <row r="44" spans="2:43" x14ac:dyDescent="0.25">
      <c r="B44" s="86" t="s">
        <v>14</v>
      </c>
      <c r="C44" s="27" t="s">
        <v>9</v>
      </c>
      <c r="D44" s="27" t="s">
        <v>2</v>
      </c>
      <c r="E44" s="84" t="s">
        <v>13</v>
      </c>
      <c r="F44" s="84"/>
      <c r="G44" s="84"/>
      <c r="H44" s="84" t="s">
        <v>12</v>
      </c>
      <c r="I44" s="84"/>
      <c r="J44" s="84"/>
      <c r="K44" s="84" t="s">
        <v>11</v>
      </c>
      <c r="L44" s="84"/>
      <c r="M44" s="84"/>
      <c r="N44" s="56" t="s">
        <v>10</v>
      </c>
    </row>
    <row r="45" spans="2:43" x14ac:dyDescent="0.25">
      <c r="B45" s="86"/>
      <c r="C45" s="27" t="s">
        <v>9</v>
      </c>
      <c r="D45" s="27" t="s">
        <v>0</v>
      </c>
      <c r="E45" s="84" t="s">
        <v>8</v>
      </c>
      <c r="F45" s="84"/>
      <c r="G45" s="84"/>
      <c r="H45" s="84" t="s">
        <v>7</v>
      </c>
      <c r="I45" s="84"/>
      <c r="J45" s="84"/>
      <c r="K45" s="84" t="s">
        <v>6</v>
      </c>
      <c r="L45" s="84"/>
      <c r="M45" s="84"/>
      <c r="N45" s="56" t="s">
        <v>5</v>
      </c>
    </row>
    <row r="46" spans="2:43" x14ac:dyDescent="0.25">
      <c r="B46" s="86" t="s">
        <v>4</v>
      </c>
      <c r="C46" s="27" t="s">
        <v>1</v>
      </c>
      <c r="D46" s="27" t="s">
        <v>2</v>
      </c>
      <c r="E46" s="80">
        <v>16.399999999999999</v>
      </c>
      <c r="F46" s="80"/>
      <c r="G46" s="80"/>
      <c r="H46" s="80">
        <v>21.5</v>
      </c>
      <c r="I46" s="80"/>
      <c r="J46" s="80"/>
      <c r="K46" s="80">
        <v>26.7</v>
      </c>
      <c r="L46" s="80"/>
      <c r="M46" s="80"/>
      <c r="N46" s="58">
        <v>37.6</v>
      </c>
      <c r="Q46" s="59"/>
    </row>
    <row r="47" spans="2:43" x14ac:dyDescent="0.25">
      <c r="B47" s="86"/>
      <c r="C47" s="27" t="s">
        <v>1</v>
      </c>
      <c r="D47" s="27" t="s">
        <v>0</v>
      </c>
      <c r="E47" s="80">
        <v>2.2999999999999998</v>
      </c>
      <c r="F47" s="80"/>
      <c r="G47" s="80"/>
      <c r="H47" s="80">
        <v>3.3</v>
      </c>
      <c r="I47" s="80"/>
      <c r="J47" s="80"/>
      <c r="K47" s="80">
        <v>5.2</v>
      </c>
      <c r="L47" s="80"/>
      <c r="M47" s="80"/>
      <c r="N47" s="58">
        <v>7.8</v>
      </c>
    </row>
    <row r="48" spans="2:43" x14ac:dyDescent="0.25">
      <c r="B48" s="86" t="s">
        <v>3</v>
      </c>
      <c r="C48" s="27" t="s">
        <v>1</v>
      </c>
      <c r="D48" s="27" t="s">
        <v>2</v>
      </c>
      <c r="E48" s="112">
        <v>19</v>
      </c>
      <c r="F48" s="112"/>
      <c r="G48" s="112"/>
      <c r="H48" s="80">
        <v>24.3</v>
      </c>
      <c r="I48" s="80"/>
      <c r="J48" s="80"/>
      <c r="K48" s="80">
        <v>30.5</v>
      </c>
      <c r="L48" s="80"/>
      <c r="M48" s="80"/>
      <c r="N48" s="58">
        <v>42.2</v>
      </c>
    </row>
    <row r="49" spans="2:45" x14ac:dyDescent="0.25">
      <c r="B49" s="86"/>
      <c r="C49" s="27" t="s">
        <v>1</v>
      </c>
      <c r="D49" s="27" t="s">
        <v>0</v>
      </c>
      <c r="E49" s="80">
        <v>3.3</v>
      </c>
      <c r="F49" s="80"/>
      <c r="G49" s="80"/>
      <c r="H49" s="80">
        <v>4.9000000000000004</v>
      </c>
      <c r="I49" s="80"/>
      <c r="J49" s="80"/>
      <c r="K49" s="80">
        <v>7.1</v>
      </c>
      <c r="L49" s="80"/>
      <c r="M49" s="80"/>
      <c r="N49" s="58">
        <v>10.5</v>
      </c>
    </row>
    <row r="50" spans="2:45" x14ac:dyDescent="0.25">
      <c r="B50" s="60"/>
      <c r="C50" s="59"/>
      <c r="E50" s="61"/>
      <c r="F50" s="61"/>
      <c r="G50" s="61"/>
      <c r="H50" s="61"/>
      <c r="I50" s="61"/>
      <c r="J50" s="61"/>
      <c r="K50" s="61"/>
      <c r="L50" s="61"/>
      <c r="M50" s="61"/>
      <c r="N50" s="62"/>
    </row>
    <row r="51" spans="2:45" x14ac:dyDescent="0.25">
      <c r="B51" s="60"/>
      <c r="C51" s="59"/>
      <c r="D51" s="59"/>
      <c r="E51" s="61"/>
      <c r="F51" s="61"/>
      <c r="G51" s="61"/>
      <c r="H51" s="61"/>
      <c r="I51" s="61"/>
      <c r="J51" s="61"/>
      <c r="K51" s="61"/>
      <c r="L51" s="61"/>
      <c r="M51" s="61"/>
      <c r="N51" s="62"/>
    </row>
    <row r="52" spans="2:45" ht="18" thickBot="1" x14ac:dyDescent="0.3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2:45" ht="18" thickBot="1" x14ac:dyDescent="0.3">
      <c r="B53" s="60"/>
      <c r="C53" s="59"/>
      <c r="D53" s="59"/>
      <c r="H53" s="109" t="s">
        <v>65</v>
      </c>
      <c r="I53" s="110"/>
      <c r="M53" s="61"/>
      <c r="N53" s="62"/>
    </row>
    <row r="54" spans="2:45" x14ac:dyDescent="0.25">
      <c r="B54" s="60"/>
      <c r="C54" s="59"/>
      <c r="D54" s="59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S54" s="16"/>
    </row>
    <row r="55" spans="2:45" s="16" customFormat="1" ht="18" thickBot="1" x14ac:dyDescent="0.3">
      <c r="B55" s="111" t="s">
        <v>64</v>
      </c>
      <c r="C55" s="111"/>
      <c r="D55" s="111"/>
      <c r="E55" s="111"/>
      <c r="F55" s="111"/>
      <c r="G55" s="22" t="str">
        <f t="shared" ref="G55:N55" si="8">"CF4"&amp;"-"&amp;G56/10&amp;"-AC"</f>
        <v>CF4-68-AC</v>
      </c>
      <c r="H55" s="22" t="str">
        <f t="shared" si="8"/>
        <v>CF4-85-AC</v>
      </c>
      <c r="I55" s="22" t="str">
        <f t="shared" si="8"/>
        <v>CF4-102-AC</v>
      </c>
      <c r="J55" s="22" t="str">
        <f t="shared" si="8"/>
        <v>CF4-136-AC</v>
      </c>
      <c r="K55" s="22" t="str">
        <f t="shared" si="8"/>
        <v>CF4-170-AC</v>
      </c>
      <c r="L55" s="22" t="str">
        <f t="shared" si="8"/>
        <v>CF4-204-AC</v>
      </c>
      <c r="M55" s="22" t="str">
        <f t="shared" si="8"/>
        <v>CF4-238-AC</v>
      </c>
      <c r="N55" s="22" t="str">
        <f t="shared" si="8"/>
        <v>CF4-289-AC</v>
      </c>
    </row>
    <row r="56" spans="2:45" ht="17.399999999999999" customHeight="1" x14ac:dyDescent="0.25">
      <c r="B56" s="98" t="s">
        <v>63</v>
      </c>
      <c r="C56" s="99"/>
      <c r="D56" s="99"/>
      <c r="E56" s="107" t="s">
        <v>62</v>
      </c>
      <c r="F56" s="65" t="s">
        <v>50</v>
      </c>
      <c r="G56" s="35">
        <v>680</v>
      </c>
      <c r="H56" s="36">
        <v>850</v>
      </c>
      <c r="I56" s="35">
        <v>1020</v>
      </c>
      <c r="J56" s="36">
        <v>1360</v>
      </c>
      <c r="K56" s="35">
        <v>1700</v>
      </c>
      <c r="L56" s="36">
        <v>2040</v>
      </c>
      <c r="M56" s="35">
        <v>2380</v>
      </c>
      <c r="N56" s="37">
        <v>2890</v>
      </c>
    </row>
    <row r="57" spans="2:45" x14ac:dyDescent="0.25">
      <c r="B57" s="100"/>
      <c r="C57" s="86"/>
      <c r="D57" s="86"/>
      <c r="E57" s="84"/>
      <c r="F57" s="51" t="s">
        <v>49</v>
      </c>
      <c r="G57" s="38">
        <v>510</v>
      </c>
      <c r="H57" s="39">
        <v>510</v>
      </c>
      <c r="I57" s="38">
        <v>510</v>
      </c>
      <c r="J57" s="39">
        <v>510</v>
      </c>
      <c r="K57" s="38">
        <v>510</v>
      </c>
      <c r="L57" s="39">
        <v>510</v>
      </c>
      <c r="M57" s="38">
        <v>510</v>
      </c>
      <c r="N57" s="40">
        <v>2100</v>
      </c>
    </row>
    <row r="58" spans="2:45" ht="18" thickBot="1" x14ac:dyDescent="0.3">
      <c r="B58" s="101"/>
      <c r="C58" s="102"/>
      <c r="D58" s="102"/>
      <c r="E58" s="108"/>
      <c r="F58" s="66" t="s">
        <v>48</v>
      </c>
      <c r="G58" s="41">
        <v>340</v>
      </c>
      <c r="H58" s="42">
        <v>425</v>
      </c>
      <c r="I58" s="41">
        <v>510</v>
      </c>
      <c r="J58" s="42">
        <v>680</v>
      </c>
      <c r="K58" s="41">
        <v>850</v>
      </c>
      <c r="L58" s="42">
        <v>1020</v>
      </c>
      <c r="M58" s="41">
        <v>1190</v>
      </c>
      <c r="N58" s="43">
        <v>1600</v>
      </c>
    </row>
    <row r="59" spans="2:45" ht="17.399999999999999" customHeight="1" x14ac:dyDescent="0.25">
      <c r="B59" s="98" t="s">
        <v>61</v>
      </c>
      <c r="C59" s="99"/>
      <c r="D59" s="99"/>
      <c r="E59" s="107" t="s">
        <v>55</v>
      </c>
      <c r="F59" s="65" t="s">
        <v>50</v>
      </c>
      <c r="G59" s="35">
        <f>IF($W$3&gt;0,"",IF($W$4&gt;14.5,419.39*$W$4-4658.5,G62))</f>
        <v>2680.8249999999998</v>
      </c>
      <c r="H59" s="36">
        <f>IF($W$3&gt;0,"",IF($W$4&gt;14.5,523.74*$W$4-5874.3,H62))</f>
        <v>3291.1500000000005</v>
      </c>
      <c r="I59" s="35">
        <f>IF($W$3&gt;0,"",IF($W$4&gt;14.5,608.52*$W$4-6836.3,I62))</f>
        <v>3812.8</v>
      </c>
      <c r="J59" s="36">
        <f>IF($W$3&gt;0,"",IF($W$4&gt;14.5,724.43*$W$4-7626.1,J62))</f>
        <v>5051.4249999999993</v>
      </c>
      <c r="K59" s="35">
        <f>IF($W$3&gt;0,"",IF($W$4&gt;14.5,1161.3*$W$4-13743,K62))</f>
        <v>6579.75</v>
      </c>
      <c r="L59" s="36">
        <f>IF($W$3&gt;0,"",IF($W$4&gt;14.5,1165.9*$W$4-13055,L62))</f>
        <v>7348.25</v>
      </c>
      <c r="M59" s="35">
        <f>IF($W$3&gt;0,"",IF($W$4&gt;14.5,1353.9*$W$4-15075,M62))</f>
        <v>8618.25</v>
      </c>
      <c r="N59" s="37">
        <f>IF($W$3&gt;0,"",IF($W$4&gt;14.5,1726.1*$W$4-19395,N62))</f>
        <v>10811.75</v>
      </c>
    </row>
    <row r="60" spans="2:45" x14ac:dyDescent="0.25">
      <c r="B60" s="100"/>
      <c r="C60" s="86"/>
      <c r="D60" s="86"/>
      <c r="E60" s="84"/>
      <c r="F60" s="51" t="s">
        <v>49</v>
      </c>
      <c r="G60" s="38">
        <f t="shared" ref="G60:N60" si="9">IFERROR(ROUND(G59*0.8,0),"")</f>
        <v>2145</v>
      </c>
      <c r="H60" s="39">
        <f t="shared" si="9"/>
        <v>2633</v>
      </c>
      <c r="I60" s="38">
        <f t="shared" si="9"/>
        <v>3050</v>
      </c>
      <c r="J60" s="39">
        <f t="shared" si="9"/>
        <v>4041</v>
      </c>
      <c r="K60" s="38">
        <f t="shared" si="9"/>
        <v>5264</v>
      </c>
      <c r="L60" s="39">
        <f t="shared" si="9"/>
        <v>5879</v>
      </c>
      <c r="M60" s="38">
        <f t="shared" si="9"/>
        <v>6895</v>
      </c>
      <c r="N60" s="40">
        <f t="shared" si="9"/>
        <v>8649</v>
      </c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</row>
    <row r="61" spans="2:45" ht="18" thickBot="1" x14ac:dyDescent="0.3">
      <c r="B61" s="101"/>
      <c r="C61" s="102"/>
      <c r="D61" s="102"/>
      <c r="E61" s="108"/>
      <c r="F61" s="66" t="s">
        <v>48</v>
      </c>
      <c r="G61" s="41">
        <f t="shared" ref="G61:N61" si="10">IFERROR(ROUND(G59*0.6,0),"")</f>
        <v>1608</v>
      </c>
      <c r="H61" s="42">
        <f t="shared" si="10"/>
        <v>1975</v>
      </c>
      <c r="I61" s="41">
        <f t="shared" si="10"/>
        <v>2288</v>
      </c>
      <c r="J61" s="42">
        <f t="shared" si="10"/>
        <v>3031</v>
      </c>
      <c r="K61" s="41">
        <f t="shared" si="10"/>
        <v>3948</v>
      </c>
      <c r="L61" s="42">
        <f t="shared" si="10"/>
        <v>4409</v>
      </c>
      <c r="M61" s="41">
        <f t="shared" si="10"/>
        <v>5171</v>
      </c>
      <c r="N61" s="43">
        <f t="shared" si="10"/>
        <v>6487</v>
      </c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</row>
    <row r="62" spans="2:45" ht="17.399999999999999" customHeight="1" x14ac:dyDescent="0.25">
      <c r="B62" s="98" t="s">
        <v>60</v>
      </c>
      <c r="C62" s="99"/>
      <c r="D62" s="99"/>
      <c r="E62" s="107" t="s">
        <v>55</v>
      </c>
      <c r="F62" s="65" t="s">
        <v>50</v>
      </c>
      <c r="G62" s="35">
        <f>IF($W$3&lt;0,140.66*$W$4-422.65,"")</f>
        <v>2038.8999999999996</v>
      </c>
      <c r="H62" s="36">
        <f>IF($W$3&lt;0,174.94*$W$4-491.91,"")</f>
        <v>2569.54</v>
      </c>
      <c r="I62" s="35">
        <f>IF($W$3&lt;0,203.84*$W$4-577.86,"")</f>
        <v>2989.34</v>
      </c>
      <c r="J62" s="36">
        <f>IF($W$3&lt;0,265.69*$W$4-658.52,"")</f>
        <v>3991.0549999999998</v>
      </c>
      <c r="K62" s="35">
        <f>IF($W$3&lt;0,331.59*$W$4-884.14,"")</f>
        <v>4918.6849999999995</v>
      </c>
      <c r="L62" s="36">
        <f>IF($W$3&lt;0,386.98*$W$4-1108.5,"")</f>
        <v>5663.6500000000005</v>
      </c>
      <c r="M62" s="35">
        <f>IF($W$3&lt;0,458.58*$W$4-1453.4,"")</f>
        <v>6571.75</v>
      </c>
      <c r="N62" s="37">
        <f>IF($W$3&lt;0,573.2*$W$4-1647.1,"")</f>
        <v>8383.9</v>
      </c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</row>
    <row r="63" spans="2:45" x14ac:dyDescent="0.25">
      <c r="B63" s="100"/>
      <c r="C63" s="86"/>
      <c r="D63" s="86"/>
      <c r="E63" s="84"/>
      <c r="F63" s="51" t="s">
        <v>49</v>
      </c>
      <c r="G63" s="38">
        <f t="shared" ref="G63:N63" si="11">IFERROR(ROUND(G62*0.8,0),"")</f>
        <v>1631</v>
      </c>
      <c r="H63" s="39">
        <f t="shared" si="11"/>
        <v>2056</v>
      </c>
      <c r="I63" s="38">
        <f t="shared" si="11"/>
        <v>2391</v>
      </c>
      <c r="J63" s="39">
        <f t="shared" si="11"/>
        <v>3193</v>
      </c>
      <c r="K63" s="38">
        <f t="shared" si="11"/>
        <v>3935</v>
      </c>
      <c r="L63" s="39">
        <f t="shared" si="11"/>
        <v>4531</v>
      </c>
      <c r="M63" s="38">
        <f t="shared" si="11"/>
        <v>5257</v>
      </c>
      <c r="N63" s="40">
        <f t="shared" si="11"/>
        <v>6707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</row>
    <row r="64" spans="2:45" ht="18" thickBot="1" x14ac:dyDescent="0.3">
      <c r="B64" s="101"/>
      <c r="C64" s="102"/>
      <c r="D64" s="102"/>
      <c r="E64" s="108"/>
      <c r="F64" s="66" t="s">
        <v>48</v>
      </c>
      <c r="G64" s="41">
        <f t="shared" ref="G64:N64" si="12">IFERROR(ROUND(G62*0.6,0),"")</f>
        <v>1223</v>
      </c>
      <c r="H64" s="42">
        <f t="shared" si="12"/>
        <v>1542</v>
      </c>
      <c r="I64" s="41">
        <f t="shared" si="12"/>
        <v>1794</v>
      </c>
      <c r="J64" s="42">
        <f t="shared" si="12"/>
        <v>2395</v>
      </c>
      <c r="K64" s="41">
        <f t="shared" si="12"/>
        <v>2951</v>
      </c>
      <c r="L64" s="42">
        <f t="shared" si="12"/>
        <v>3398</v>
      </c>
      <c r="M64" s="41">
        <f t="shared" si="12"/>
        <v>3943</v>
      </c>
      <c r="N64" s="43">
        <f t="shared" si="12"/>
        <v>5030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</row>
    <row r="65" spans="2:43" ht="17.399999999999999" customHeight="1" x14ac:dyDescent="0.25">
      <c r="B65" s="98" t="s">
        <v>59</v>
      </c>
      <c r="C65" s="99"/>
      <c r="D65" s="99"/>
      <c r="E65" s="107" t="s">
        <v>55</v>
      </c>
      <c r="F65" s="65" t="s">
        <v>50</v>
      </c>
      <c r="G65" s="35" t="str">
        <f>IF($W$3&gt;0,103.5*$W$4-490,"")</f>
        <v/>
      </c>
      <c r="H65" s="36" t="str">
        <f>IF($W$3&gt;0,133*$W$4-620,"")</f>
        <v/>
      </c>
      <c r="I65" s="35" t="str">
        <f>IF($W$3&gt;0,165.5*$W$4-740,"")</f>
        <v/>
      </c>
      <c r="J65" s="36" t="str">
        <f>IF($W$3&gt;0,188*$W$4-1050,"")</f>
        <v/>
      </c>
      <c r="K65" s="35" t="str">
        <f>IF($W$3&gt;0,248.5*$W$4-1180,"")</f>
        <v/>
      </c>
      <c r="L65" s="36" t="str">
        <f>IF($W$3&gt;0,281*$W$4-1290,"")</f>
        <v/>
      </c>
      <c r="M65" s="35" t="str">
        <f>IF($W$3&gt;0,327*$W$4-1420,"")</f>
        <v/>
      </c>
      <c r="N65" s="37" t="str">
        <f>IF($W$3&gt;0,467*$W$4-2150,"")</f>
        <v/>
      </c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</row>
    <row r="66" spans="2:43" x14ac:dyDescent="0.25">
      <c r="B66" s="100"/>
      <c r="C66" s="86"/>
      <c r="D66" s="86"/>
      <c r="E66" s="84"/>
      <c r="F66" s="51" t="s">
        <v>49</v>
      </c>
      <c r="G66" s="38" t="str">
        <f t="shared" ref="G66:N66" si="13">IFERROR(ROUND(G65*0.8,0),"")</f>
        <v/>
      </c>
      <c r="H66" s="39" t="str">
        <f t="shared" si="13"/>
        <v/>
      </c>
      <c r="I66" s="38" t="str">
        <f t="shared" si="13"/>
        <v/>
      </c>
      <c r="J66" s="39" t="str">
        <f t="shared" si="13"/>
        <v/>
      </c>
      <c r="K66" s="38" t="str">
        <f t="shared" si="13"/>
        <v/>
      </c>
      <c r="L66" s="39" t="str">
        <f t="shared" si="13"/>
        <v/>
      </c>
      <c r="M66" s="38" t="str">
        <f t="shared" si="13"/>
        <v/>
      </c>
      <c r="N66" s="40" t="str">
        <f t="shared" si="13"/>
        <v/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</row>
    <row r="67" spans="2:43" ht="18" thickBot="1" x14ac:dyDescent="0.3">
      <c r="B67" s="101"/>
      <c r="C67" s="102"/>
      <c r="D67" s="102"/>
      <c r="E67" s="108"/>
      <c r="F67" s="66" t="s">
        <v>48</v>
      </c>
      <c r="G67" s="41" t="str">
        <f t="shared" ref="G67:N67" si="14">IFERROR(ROUND(G65*0.61,0),"")</f>
        <v/>
      </c>
      <c r="H67" s="42" t="str">
        <f t="shared" si="14"/>
        <v/>
      </c>
      <c r="I67" s="41" t="str">
        <f t="shared" si="14"/>
        <v/>
      </c>
      <c r="J67" s="42" t="str">
        <f t="shared" si="14"/>
        <v/>
      </c>
      <c r="K67" s="41" t="str">
        <f t="shared" si="14"/>
        <v/>
      </c>
      <c r="L67" s="42" t="str">
        <f t="shared" si="14"/>
        <v/>
      </c>
      <c r="M67" s="41" t="str">
        <f t="shared" si="14"/>
        <v/>
      </c>
      <c r="N67" s="43" t="str">
        <f t="shared" si="14"/>
        <v/>
      </c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</row>
    <row r="68" spans="2:43" s="45" customFormat="1" ht="17.399999999999999" customHeight="1" x14ac:dyDescent="0.25">
      <c r="B68" s="103" t="s">
        <v>58</v>
      </c>
      <c r="C68" s="103"/>
      <c r="D68" s="103"/>
      <c r="E68" s="103"/>
      <c r="F68" s="103"/>
      <c r="G68" s="104" t="s">
        <v>57</v>
      </c>
      <c r="H68" s="105"/>
      <c r="I68" s="105"/>
      <c r="J68" s="105"/>
      <c r="K68" s="105"/>
      <c r="L68" s="105"/>
      <c r="M68" s="105"/>
      <c r="N68" s="106"/>
      <c r="AQ68" s="46"/>
    </row>
    <row r="69" spans="2:43" s="45" customFormat="1" x14ac:dyDescent="0.25">
      <c r="B69" s="92" t="s">
        <v>56</v>
      </c>
      <c r="C69" s="93"/>
      <c r="D69" s="94"/>
      <c r="E69" s="51" t="s">
        <v>55</v>
      </c>
      <c r="F69" s="51"/>
      <c r="G69" s="28">
        <v>60</v>
      </c>
      <c r="H69" s="29">
        <v>74</v>
      </c>
      <c r="I69" s="28">
        <v>93</v>
      </c>
      <c r="J69" s="29">
        <v>130</v>
      </c>
      <c r="K69" s="28">
        <v>147</v>
      </c>
      <c r="L69" s="29">
        <v>183</v>
      </c>
      <c r="M69" s="28">
        <v>221</v>
      </c>
      <c r="N69" s="29">
        <v>330</v>
      </c>
      <c r="AQ69" s="46"/>
    </row>
    <row r="70" spans="2:43" s="45" customFormat="1" x14ac:dyDescent="0.25">
      <c r="B70" s="92" t="s">
        <v>54</v>
      </c>
      <c r="C70" s="93"/>
      <c r="D70" s="94"/>
      <c r="E70" s="51" t="s">
        <v>53</v>
      </c>
      <c r="F70" s="68"/>
      <c r="G70" s="48">
        <f t="shared" ref="G70:N70" si="15">G69/230</f>
        <v>0.2608695652173913</v>
      </c>
      <c r="H70" s="49">
        <f t="shared" si="15"/>
        <v>0.32173913043478258</v>
      </c>
      <c r="I70" s="48">
        <f t="shared" si="15"/>
        <v>0.40434782608695652</v>
      </c>
      <c r="J70" s="49">
        <f t="shared" si="15"/>
        <v>0.56521739130434778</v>
      </c>
      <c r="K70" s="48">
        <f t="shared" si="15"/>
        <v>0.63913043478260867</v>
      </c>
      <c r="L70" s="49">
        <f t="shared" si="15"/>
        <v>0.79565217391304344</v>
      </c>
      <c r="M70" s="48">
        <f t="shared" si="15"/>
        <v>0.96086956521739131</v>
      </c>
      <c r="N70" s="49">
        <f t="shared" si="15"/>
        <v>1.4347826086956521</v>
      </c>
      <c r="AQ70" s="46"/>
    </row>
    <row r="71" spans="2:43" ht="17.399999999999999" customHeight="1" x14ac:dyDescent="0.25">
      <c r="B71" s="71" t="s">
        <v>52</v>
      </c>
      <c r="C71" s="72"/>
      <c r="D71" s="73"/>
      <c r="E71" s="84" t="s">
        <v>51</v>
      </c>
      <c r="F71" s="51" t="s">
        <v>50</v>
      </c>
      <c r="G71" s="50">
        <v>41</v>
      </c>
      <c r="H71" s="51">
        <v>43</v>
      </c>
      <c r="I71" s="50">
        <v>45</v>
      </c>
      <c r="J71" s="51">
        <v>46</v>
      </c>
      <c r="K71" s="50">
        <v>48</v>
      </c>
      <c r="L71" s="51">
        <v>50</v>
      </c>
      <c r="M71" s="50">
        <v>52</v>
      </c>
      <c r="N71" s="51">
        <v>57</v>
      </c>
    </row>
    <row r="72" spans="2:43" x14ac:dyDescent="0.25">
      <c r="B72" s="95"/>
      <c r="C72" s="96"/>
      <c r="D72" s="97"/>
      <c r="E72" s="84"/>
      <c r="F72" s="51" t="s">
        <v>49</v>
      </c>
      <c r="G72" s="50">
        <v>36</v>
      </c>
      <c r="H72" s="51">
        <v>34</v>
      </c>
      <c r="I72" s="50">
        <v>36</v>
      </c>
      <c r="J72" s="51">
        <v>41</v>
      </c>
      <c r="K72" s="50">
        <v>41</v>
      </c>
      <c r="L72" s="51">
        <v>43</v>
      </c>
      <c r="M72" s="50">
        <v>47</v>
      </c>
      <c r="N72" s="51">
        <v>53</v>
      </c>
    </row>
    <row r="73" spans="2:43" x14ac:dyDescent="0.25">
      <c r="B73" s="74"/>
      <c r="C73" s="75"/>
      <c r="D73" s="76"/>
      <c r="E73" s="84"/>
      <c r="F73" s="51" t="s">
        <v>48</v>
      </c>
      <c r="G73" s="50">
        <v>32</v>
      </c>
      <c r="H73" s="51">
        <v>30</v>
      </c>
      <c r="I73" s="50">
        <v>32</v>
      </c>
      <c r="J73" s="51">
        <v>34</v>
      </c>
      <c r="K73" s="50">
        <v>35</v>
      </c>
      <c r="L73" s="51">
        <v>37</v>
      </c>
      <c r="M73" s="50">
        <v>43</v>
      </c>
      <c r="N73" s="51">
        <v>48</v>
      </c>
    </row>
    <row r="74" spans="2:43" ht="17.399999999999999" customHeight="1" x14ac:dyDescent="0.25">
      <c r="B74" s="71" t="s">
        <v>47</v>
      </c>
      <c r="C74" s="72"/>
      <c r="D74" s="73"/>
      <c r="E74" s="44" t="s">
        <v>46</v>
      </c>
      <c r="F74" s="44" t="s">
        <v>44</v>
      </c>
      <c r="G74" s="38">
        <v>450</v>
      </c>
      <c r="H74" s="39">
        <v>540</v>
      </c>
      <c r="I74" s="38">
        <v>625</v>
      </c>
      <c r="J74" s="39">
        <v>830</v>
      </c>
      <c r="K74" s="38">
        <v>1050</v>
      </c>
      <c r="L74" s="39">
        <v>1400</v>
      </c>
      <c r="M74" s="38">
        <v>1500</v>
      </c>
      <c r="N74" s="39">
        <v>1800</v>
      </c>
    </row>
    <row r="75" spans="2:43" x14ac:dyDescent="0.25">
      <c r="B75" s="74"/>
      <c r="C75" s="75"/>
      <c r="D75" s="76"/>
      <c r="E75" s="51" t="s">
        <v>46</v>
      </c>
      <c r="F75" s="51" t="s">
        <v>42</v>
      </c>
      <c r="G75" s="38">
        <v>260</v>
      </c>
      <c r="H75" s="39">
        <v>355</v>
      </c>
      <c r="I75" s="38">
        <v>440</v>
      </c>
      <c r="J75" s="39">
        <v>550</v>
      </c>
      <c r="K75" s="38">
        <v>700</v>
      </c>
      <c r="L75" s="39">
        <v>725</v>
      </c>
      <c r="M75" s="38">
        <v>980</v>
      </c>
      <c r="N75" s="39">
        <v>1185</v>
      </c>
    </row>
    <row r="76" spans="2:43" ht="17.399999999999999" customHeight="1" x14ac:dyDescent="0.25">
      <c r="B76" s="71" t="s">
        <v>45</v>
      </c>
      <c r="C76" s="72"/>
      <c r="D76" s="73"/>
      <c r="E76" s="51" t="s">
        <v>43</v>
      </c>
      <c r="F76" s="51" t="s">
        <v>44</v>
      </c>
      <c r="G76" s="38">
        <v>11</v>
      </c>
      <c r="H76" s="39">
        <v>17</v>
      </c>
      <c r="I76" s="38">
        <v>22</v>
      </c>
      <c r="J76" s="39">
        <v>24</v>
      </c>
      <c r="K76" s="38">
        <v>27</v>
      </c>
      <c r="L76" s="39">
        <v>30</v>
      </c>
      <c r="M76" s="38">
        <v>35</v>
      </c>
      <c r="N76" s="39">
        <v>40</v>
      </c>
    </row>
    <row r="77" spans="2:43" x14ac:dyDescent="0.25">
      <c r="B77" s="74"/>
      <c r="C77" s="75"/>
      <c r="D77" s="76"/>
      <c r="E77" s="51" t="s">
        <v>43</v>
      </c>
      <c r="F77" s="51" t="s">
        <v>42</v>
      </c>
      <c r="G77" s="38">
        <v>1</v>
      </c>
      <c r="H77" s="39">
        <v>1.5</v>
      </c>
      <c r="I77" s="38">
        <v>2</v>
      </c>
      <c r="J77" s="39">
        <v>3</v>
      </c>
      <c r="K77" s="38">
        <v>6</v>
      </c>
      <c r="L77" s="39">
        <v>8</v>
      </c>
      <c r="M77" s="38">
        <v>9</v>
      </c>
      <c r="N77" s="39">
        <v>10</v>
      </c>
    </row>
    <row r="78" spans="2:43" s="45" customFormat="1" x14ac:dyDescent="0.25">
      <c r="B78" s="91" t="s">
        <v>41</v>
      </c>
      <c r="C78" s="91"/>
      <c r="D78" s="91"/>
      <c r="E78" s="51" t="s">
        <v>40</v>
      </c>
      <c r="F78" s="69"/>
      <c r="G78" s="81">
        <v>1.6</v>
      </c>
      <c r="H78" s="82"/>
      <c r="I78" s="82"/>
      <c r="J78" s="82"/>
      <c r="K78" s="82"/>
      <c r="L78" s="82"/>
      <c r="M78" s="82"/>
      <c r="N78" s="83"/>
      <c r="AQ78" s="46"/>
    </row>
    <row r="79" spans="2:43" s="45" customFormat="1" ht="17.399999999999999" customHeight="1" x14ac:dyDescent="0.25">
      <c r="B79" s="86" t="s">
        <v>39</v>
      </c>
      <c r="C79" s="86"/>
      <c r="D79" s="86"/>
      <c r="E79" s="86"/>
      <c r="F79" s="86"/>
      <c r="G79" s="81" t="s">
        <v>38</v>
      </c>
      <c r="H79" s="82"/>
      <c r="I79" s="82"/>
      <c r="J79" s="82"/>
      <c r="K79" s="82"/>
      <c r="L79" s="82"/>
      <c r="M79" s="82"/>
      <c r="N79" s="83"/>
      <c r="AQ79" s="46"/>
    </row>
    <row r="80" spans="2:43" s="45" customFormat="1" x14ac:dyDescent="0.25">
      <c r="B80" s="85" t="s">
        <v>37</v>
      </c>
      <c r="C80" s="85"/>
      <c r="D80" s="85"/>
      <c r="E80" s="85"/>
      <c r="F80" s="85"/>
      <c r="G80" s="81" t="s">
        <v>36</v>
      </c>
      <c r="H80" s="82"/>
      <c r="I80" s="82"/>
      <c r="J80" s="82"/>
      <c r="K80" s="82"/>
      <c r="L80" s="82"/>
      <c r="M80" s="82"/>
      <c r="N80" s="83"/>
      <c r="AQ80" s="46"/>
    </row>
    <row r="81" spans="2:45" s="45" customFormat="1" x14ac:dyDescent="0.25">
      <c r="B81" s="85" t="s">
        <v>35</v>
      </c>
      <c r="C81" s="85"/>
      <c r="D81" s="85"/>
      <c r="E81" s="85"/>
      <c r="F81" s="85"/>
      <c r="G81" s="81" t="s">
        <v>34</v>
      </c>
      <c r="H81" s="82"/>
      <c r="I81" s="82"/>
      <c r="J81" s="82"/>
      <c r="K81" s="82"/>
      <c r="L81" s="82"/>
      <c r="M81" s="82"/>
      <c r="N81" s="83"/>
      <c r="AQ81" s="46"/>
    </row>
    <row r="82" spans="2:45" s="45" customFormat="1" x14ac:dyDescent="0.25">
      <c r="B82" s="85" t="s">
        <v>33</v>
      </c>
      <c r="C82" s="85"/>
      <c r="D82" s="85"/>
      <c r="E82" s="85"/>
      <c r="F82" s="85"/>
      <c r="G82" s="87" t="s">
        <v>32</v>
      </c>
      <c r="H82" s="88"/>
      <c r="I82" s="88"/>
      <c r="J82" s="88"/>
      <c r="K82" s="88"/>
      <c r="L82" s="88"/>
      <c r="M82" s="88"/>
      <c r="N82" s="89"/>
      <c r="AQ82" s="46"/>
    </row>
    <row r="83" spans="2:45" s="45" customFormat="1" x14ac:dyDescent="0.25">
      <c r="B83" s="85" t="s">
        <v>31</v>
      </c>
      <c r="C83" s="85"/>
      <c r="D83" s="85"/>
      <c r="E83" s="85"/>
      <c r="F83" s="85"/>
      <c r="G83" s="81" t="s">
        <v>30</v>
      </c>
      <c r="H83" s="82"/>
      <c r="I83" s="82"/>
      <c r="J83" s="82"/>
      <c r="K83" s="82"/>
      <c r="L83" s="82"/>
      <c r="M83" s="82"/>
      <c r="N83" s="83"/>
      <c r="AQ83" s="46"/>
    </row>
    <row r="84" spans="2:45" s="45" customFormat="1" x14ac:dyDescent="0.25">
      <c r="B84" s="85" t="s">
        <v>29</v>
      </c>
      <c r="C84" s="85"/>
      <c r="D84" s="85"/>
      <c r="E84" s="85"/>
      <c r="F84" s="85"/>
      <c r="G84" s="81" t="s">
        <v>28</v>
      </c>
      <c r="H84" s="82"/>
      <c r="I84" s="82"/>
      <c r="J84" s="82"/>
      <c r="K84" s="82"/>
      <c r="L84" s="82"/>
      <c r="M84" s="82"/>
      <c r="N84" s="83"/>
      <c r="AQ84" s="46"/>
    </row>
    <row r="85" spans="2:45" s="45" customFormat="1" x14ac:dyDescent="0.25">
      <c r="B85" s="90" t="s">
        <v>27</v>
      </c>
      <c r="C85" s="90"/>
      <c r="D85" s="90"/>
      <c r="E85" s="69" t="s">
        <v>9</v>
      </c>
      <c r="F85" s="70"/>
      <c r="G85" s="81" t="s">
        <v>26</v>
      </c>
      <c r="H85" s="82"/>
      <c r="I85" s="82"/>
      <c r="J85" s="82"/>
      <c r="K85" s="82"/>
      <c r="L85" s="82"/>
      <c r="M85" s="82"/>
      <c r="N85" s="83"/>
      <c r="AQ85" s="46"/>
    </row>
    <row r="86" spans="2:45" s="45" customFormat="1" ht="17.399999999999999" customHeight="1" x14ac:dyDescent="0.25">
      <c r="B86" s="86" t="s">
        <v>25</v>
      </c>
      <c r="C86" s="86"/>
      <c r="D86" s="86"/>
      <c r="E86" s="86"/>
      <c r="F86" s="86"/>
      <c r="G86" s="81" t="s">
        <v>24</v>
      </c>
      <c r="H86" s="82"/>
      <c r="I86" s="82"/>
      <c r="J86" s="82"/>
      <c r="K86" s="82"/>
      <c r="L86" s="82"/>
      <c r="M86" s="82"/>
      <c r="N86" s="83"/>
      <c r="AQ86" s="46"/>
    </row>
    <row r="87" spans="2:45" ht="17.399999999999999" customHeight="1" x14ac:dyDescent="0.25">
      <c r="B87" s="71" t="s">
        <v>23</v>
      </c>
      <c r="C87" s="72"/>
      <c r="D87" s="73"/>
      <c r="E87" s="51" t="s">
        <v>9</v>
      </c>
      <c r="F87" s="51" t="s">
        <v>2</v>
      </c>
      <c r="G87" s="51" t="s">
        <v>22</v>
      </c>
      <c r="H87" s="81" t="s">
        <v>21</v>
      </c>
      <c r="I87" s="82"/>
      <c r="J87" s="83"/>
      <c r="K87" s="84" t="s">
        <v>20</v>
      </c>
      <c r="L87" s="84"/>
      <c r="M87" s="84"/>
      <c r="N87" s="56" t="s">
        <v>19</v>
      </c>
    </row>
    <row r="88" spans="2:45" x14ac:dyDescent="0.25">
      <c r="B88" s="74"/>
      <c r="C88" s="75"/>
      <c r="D88" s="76"/>
      <c r="E88" s="51" t="s">
        <v>9</v>
      </c>
      <c r="F88" s="51" t="s">
        <v>0</v>
      </c>
      <c r="G88" s="51" t="s">
        <v>18</v>
      </c>
      <c r="H88" s="81" t="s">
        <v>17</v>
      </c>
      <c r="I88" s="82"/>
      <c r="J88" s="83"/>
      <c r="K88" s="84" t="s">
        <v>16</v>
      </c>
      <c r="L88" s="84"/>
      <c r="M88" s="84"/>
      <c r="N88" s="56" t="s">
        <v>15</v>
      </c>
    </row>
    <row r="89" spans="2:45" ht="17.399999999999999" customHeight="1" x14ac:dyDescent="0.25">
      <c r="B89" s="71" t="s">
        <v>14</v>
      </c>
      <c r="C89" s="72"/>
      <c r="D89" s="73"/>
      <c r="E89" s="51" t="s">
        <v>9</v>
      </c>
      <c r="F89" s="51" t="s">
        <v>2</v>
      </c>
      <c r="G89" s="51" t="s">
        <v>13</v>
      </c>
      <c r="H89" s="81" t="s">
        <v>12</v>
      </c>
      <c r="I89" s="82"/>
      <c r="J89" s="83"/>
      <c r="K89" s="84" t="s">
        <v>11</v>
      </c>
      <c r="L89" s="84"/>
      <c r="M89" s="84"/>
      <c r="N89" s="56" t="s">
        <v>10</v>
      </c>
    </row>
    <row r="90" spans="2:45" x14ac:dyDescent="0.25">
      <c r="B90" s="74"/>
      <c r="C90" s="75"/>
      <c r="D90" s="76"/>
      <c r="E90" s="51" t="s">
        <v>9</v>
      </c>
      <c r="F90" s="51" t="s">
        <v>0</v>
      </c>
      <c r="G90" s="51" t="s">
        <v>8</v>
      </c>
      <c r="H90" s="81" t="s">
        <v>7</v>
      </c>
      <c r="I90" s="82"/>
      <c r="J90" s="83"/>
      <c r="K90" s="84" t="s">
        <v>6</v>
      </c>
      <c r="L90" s="84"/>
      <c r="M90" s="84"/>
      <c r="N90" s="56" t="s">
        <v>5</v>
      </c>
    </row>
    <row r="91" spans="2:45" ht="17.399999999999999" customHeight="1" x14ac:dyDescent="0.25">
      <c r="B91" s="71" t="s">
        <v>4</v>
      </c>
      <c r="C91" s="72"/>
      <c r="D91" s="73"/>
      <c r="E91" s="51" t="s">
        <v>1</v>
      </c>
      <c r="F91" s="51" t="s">
        <v>2</v>
      </c>
      <c r="G91" s="57">
        <v>17</v>
      </c>
      <c r="H91" s="77">
        <v>22.2</v>
      </c>
      <c r="I91" s="78"/>
      <c r="J91" s="79"/>
      <c r="K91" s="80">
        <v>27.4</v>
      </c>
      <c r="L91" s="80"/>
      <c r="M91" s="80"/>
      <c r="N91" s="58">
        <v>38.299999999999997</v>
      </c>
    </row>
    <row r="92" spans="2:45" x14ac:dyDescent="0.25">
      <c r="B92" s="74"/>
      <c r="C92" s="75"/>
      <c r="D92" s="76"/>
      <c r="E92" s="51" t="s">
        <v>1</v>
      </c>
      <c r="F92" s="51" t="s">
        <v>0</v>
      </c>
      <c r="G92" s="57">
        <v>2.2999999999999998</v>
      </c>
      <c r="H92" s="77">
        <v>3.4</v>
      </c>
      <c r="I92" s="78"/>
      <c r="J92" s="79"/>
      <c r="K92" s="80">
        <v>5.2</v>
      </c>
      <c r="L92" s="80"/>
      <c r="M92" s="80"/>
      <c r="N92" s="58">
        <v>7.8</v>
      </c>
    </row>
    <row r="93" spans="2:45" ht="17.399999999999999" customHeight="1" x14ac:dyDescent="0.25">
      <c r="B93" s="71" t="s">
        <v>3</v>
      </c>
      <c r="C93" s="72"/>
      <c r="D93" s="73"/>
      <c r="E93" s="51" t="s">
        <v>1</v>
      </c>
      <c r="F93" s="51" t="s">
        <v>2</v>
      </c>
      <c r="G93" s="29">
        <v>19.600000000000001</v>
      </c>
      <c r="H93" s="77">
        <v>25</v>
      </c>
      <c r="I93" s="78"/>
      <c r="J93" s="79"/>
      <c r="K93" s="80">
        <v>31.2</v>
      </c>
      <c r="L93" s="80"/>
      <c r="M93" s="80"/>
      <c r="N93" s="58">
        <v>42.9</v>
      </c>
    </row>
    <row r="94" spans="2:45" x14ac:dyDescent="0.25">
      <c r="B94" s="74"/>
      <c r="C94" s="75"/>
      <c r="D94" s="76"/>
      <c r="E94" s="51" t="s">
        <v>1</v>
      </c>
      <c r="F94" s="51" t="s">
        <v>0</v>
      </c>
      <c r="G94" s="57">
        <v>3.4</v>
      </c>
      <c r="H94" s="77">
        <v>4.9000000000000004</v>
      </c>
      <c r="I94" s="78"/>
      <c r="J94" s="79"/>
      <c r="K94" s="80">
        <v>7.2</v>
      </c>
      <c r="L94" s="80"/>
      <c r="M94" s="80"/>
      <c r="N94" s="58">
        <v>10.5</v>
      </c>
    </row>
    <row r="95" spans="2:45" x14ac:dyDescent="0.25">
      <c r="B95" s="60"/>
      <c r="C95" s="59"/>
      <c r="D95" s="59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S95" s="16"/>
    </row>
  </sheetData>
  <sheetProtection algorithmName="SHA-512" hashValue="0jzlHnBTho73ZHR4nPYc2zMnFq1MgqigRxZ9t57O9PPOGXTCY+IPI16ReiG9j+jJ7msSiXyD087GidqnfiQhOg==" saltValue="vUq/2XGqdU857/nP5cSydQ==" spinCount="100000" sheet="1" formatCells="0" formatColumns="0" formatRows="0" insertColumns="0" insertRows="0" insertHyperlinks="0" deleteColumns="0" deleteRows="0" sort="0" autoFilter="0" pivotTables="0"/>
  <mergeCells count="116">
    <mergeCell ref="B35:D35"/>
    <mergeCell ref="E35:N35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H10:I10"/>
    <mergeCell ref="B12:D12"/>
    <mergeCell ref="B13:B15"/>
    <mergeCell ref="C16:C18"/>
    <mergeCell ref="C19:C21"/>
    <mergeCell ref="C22:C24"/>
    <mergeCell ref="E33:N33"/>
    <mergeCell ref="B34:D34"/>
    <mergeCell ref="E34:N34"/>
    <mergeCell ref="B39:D39"/>
    <mergeCell ref="E39:N39"/>
    <mergeCell ref="B36:D36"/>
    <mergeCell ref="E36:N36"/>
    <mergeCell ref="B37:D37"/>
    <mergeCell ref="E40:N40"/>
    <mergeCell ref="B41:D41"/>
    <mergeCell ref="E41:N41"/>
    <mergeCell ref="B42:B43"/>
    <mergeCell ref="E42:G42"/>
    <mergeCell ref="H42:J42"/>
    <mergeCell ref="K42:M42"/>
    <mergeCell ref="E43:G43"/>
    <mergeCell ref="H43:J43"/>
    <mergeCell ref="K43:M43"/>
    <mergeCell ref="E37:N37"/>
    <mergeCell ref="B38:D38"/>
    <mergeCell ref="E38:N38"/>
    <mergeCell ref="B44:B45"/>
    <mergeCell ref="E44:G44"/>
    <mergeCell ref="H44:J44"/>
    <mergeCell ref="K44:M44"/>
    <mergeCell ref="E45:G45"/>
    <mergeCell ref="H45:J45"/>
    <mergeCell ref="K45:M45"/>
    <mergeCell ref="E48:G48"/>
    <mergeCell ref="H48:J48"/>
    <mergeCell ref="K48:M48"/>
    <mergeCell ref="E49:G49"/>
    <mergeCell ref="H49:J49"/>
    <mergeCell ref="K49:M49"/>
    <mergeCell ref="E62:E64"/>
    <mergeCell ref="E65:E67"/>
    <mergeCell ref="B46:B47"/>
    <mergeCell ref="E46:G46"/>
    <mergeCell ref="H46:J46"/>
    <mergeCell ref="K46:M46"/>
    <mergeCell ref="E47:G47"/>
    <mergeCell ref="H47:J47"/>
    <mergeCell ref="K47:M47"/>
    <mergeCell ref="B48:B49"/>
    <mergeCell ref="H53:I53"/>
    <mergeCell ref="B55:F55"/>
    <mergeCell ref="B56:D58"/>
    <mergeCell ref="B59:D61"/>
    <mergeCell ref="E56:E58"/>
    <mergeCell ref="E59:E61"/>
    <mergeCell ref="B78:D78"/>
    <mergeCell ref="G78:N78"/>
    <mergeCell ref="B69:D69"/>
    <mergeCell ref="B70:D70"/>
    <mergeCell ref="E71:E73"/>
    <mergeCell ref="B76:D77"/>
    <mergeCell ref="B74:D75"/>
    <mergeCell ref="B71:D73"/>
    <mergeCell ref="B62:D64"/>
    <mergeCell ref="B65:D67"/>
    <mergeCell ref="B68:F68"/>
    <mergeCell ref="G68:N68"/>
    <mergeCell ref="B81:F81"/>
    <mergeCell ref="G81:N81"/>
    <mergeCell ref="G85:N85"/>
    <mergeCell ref="B79:F79"/>
    <mergeCell ref="G79:N79"/>
    <mergeCell ref="B80:F80"/>
    <mergeCell ref="G80:N80"/>
    <mergeCell ref="H87:J87"/>
    <mergeCell ref="K87:M87"/>
    <mergeCell ref="B82:F82"/>
    <mergeCell ref="G82:N82"/>
    <mergeCell ref="B83:F83"/>
    <mergeCell ref="G83:N83"/>
    <mergeCell ref="B84:F84"/>
    <mergeCell ref="G84:N84"/>
    <mergeCell ref="B85:D85"/>
    <mergeCell ref="B86:F86"/>
    <mergeCell ref="G86:N86"/>
    <mergeCell ref="B93:D94"/>
    <mergeCell ref="B91:D92"/>
    <mergeCell ref="B89:D90"/>
    <mergeCell ref="B87:D88"/>
    <mergeCell ref="H94:J94"/>
    <mergeCell ref="K94:M94"/>
    <mergeCell ref="H92:J92"/>
    <mergeCell ref="K92:M92"/>
    <mergeCell ref="H93:J93"/>
    <mergeCell ref="K93:M93"/>
    <mergeCell ref="H90:J90"/>
    <mergeCell ref="K90:M90"/>
    <mergeCell ref="H91:J91"/>
    <mergeCell ref="K91:M91"/>
    <mergeCell ref="H88:J88"/>
    <mergeCell ref="K88:M88"/>
    <mergeCell ref="H89:J89"/>
    <mergeCell ref="K89:M89"/>
  </mergeCells>
  <conditionalFormatting sqref="E16:N21 G59:N64">
    <cfRule type="cellIs" dxfId="1" priority="9" operator="between">
      <formula>$W$5</formula>
      <formula>$W$6</formula>
    </cfRule>
  </conditionalFormatting>
  <conditionalFormatting sqref="E22:N24 G65:N67">
    <cfRule type="cellIs" dxfId="0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6:N27 E12:N12 G55:N7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CF select</vt:lpstr>
      <vt:lpstr>'CF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2026-01-10T19:45:06Z</dcterms:created>
  <dcterms:modified xsi:type="dcterms:W3CDTF">2026-02-27T09:33:12Z</dcterms:modified>
</cp:coreProperties>
</file>