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f3ca257ae7b43be/Desktop/"/>
    </mc:Choice>
  </mc:AlternateContent>
  <xr:revisionPtr revIDLastSave="0" documentId="8_{F0C5F3FA-0C3E-4717-BB03-FE78ACCFFEC9}" xr6:coauthVersionLast="47" xr6:coauthVersionMax="47" xr10:uidLastSave="{00000000-0000-0000-0000-000000000000}"/>
  <bookViews>
    <workbookView xWindow="-108" yWindow="-108" windowWidth="23256" windowHeight="12456" xr2:uid="{47055A7C-4886-49AC-B27F-5626666B0721}"/>
  </bookViews>
  <sheets>
    <sheet name="C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'CF select'!$B$2:$N$94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T3" i="1" l="1"/>
  <c r="AT4" i="1"/>
  <c r="I19" i="1" s="1"/>
  <c r="AT5" i="1"/>
  <c r="AT6" i="1"/>
  <c r="E12" i="1"/>
  <c r="F12" i="1"/>
  <c r="G12" i="1"/>
  <c r="H12" i="1"/>
  <c r="I12" i="1"/>
  <c r="J12" i="1"/>
  <c r="K12" i="1"/>
  <c r="L12" i="1"/>
  <c r="M12" i="1"/>
  <c r="N12" i="1"/>
  <c r="H16" i="1"/>
  <c r="H17" i="1" s="1"/>
  <c r="I16" i="1"/>
  <c r="I18" i="1" s="1"/>
  <c r="J16" i="1"/>
  <c r="J18" i="1" s="1"/>
  <c r="K16" i="1"/>
  <c r="K18" i="1" s="1"/>
  <c r="L16" i="1"/>
  <c r="L18" i="1" s="1"/>
  <c r="M16" i="1"/>
  <c r="M18" i="1" s="1"/>
  <c r="N16" i="1"/>
  <c r="N17" i="1" s="1"/>
  <c r="H18" i="1"/>
  <c r="E19" i="1"/>
  <c r="E21" i="1" s="1"/>
  <c r="F19" i="1"/>
  <c r="F21" i="1" s="1"/>
  <c r="G19" i="1"/>
  <c r="G21" i="1" s="1"/>
  <c r="H19" i="1"/>
  <c r="H20" i="1" s="1"/>
  <c r="J19" i="1"/>
  <c r="N19" i="1"/>
  <c r="N20" i="1" s="1"/>
  <c r="J20" i="1"/>
  <c r="J21" i="1"/>
  <c r="N21" i="1"/>
  <c r="E22" i="1"/>
  <c r="F22" i="1"/>
  <c r="G22" i="1"/>
  <c r="G24" i="1" s="1"/>
  <c r="H22" i="1"/>
  <c r="H23" i="1" s="1"/>
  <c r="I22" i="1"/>
  <c r="I24" i="1" s="1"/>
  <c r="J22" i="1"/>
  <c r="J24" i="1" s="1"/>
  <c r="K22" i="1"/>
  <c r="K24" i="1" s="1"/>
  <c r="L22" i="1"/>
  <c r="L24" i="1" s="1"/>
  <c r="M22" i="1"/>
  <c r="M23" i="1" s="1"/>
  <c r="N22" i="1"/>
  <c r="N24" i="1" s="1"/>
  <c r="E23" i="1"/>
  <c r="F23" i="1"/>
  <c r="E24" i="1"/>
  <c r="F24" i="1"/>
  <c r="H24" i="1"/>
  <c r="E27" i="1"/>
  <c r="F27" i="1"/>
  <c r="G27" i="1"/>
  <c r="H27" i="1"/>
  <c r="I27" i="1"/>
  <c r="J27" i="1"/>
  <c r="K27" i="1"/>
  <c r="L27" i="1"/>
  <c r="M27" i="1"/>
  <c r="N27" i="1"/>
  <c r="G55" i="1"/>
  <c r="H55" i="1"/>
  <c r="I55" i="1"/>
  <c r="J55" i="1"/>
  <c r="K55" i="1"/>
  <c r="L55" i="1"/>
  <c r="M55" i="1"/>
  <c r="N55" i="1"/>
  <c r="I59" i="1"/>
  <c r="J59" i="1"/>
  <c r="K59" i="1"/>
  <c r="K60" i="1" s="1"/>
  <c r="L59" i="1"/>
  <c r="L60" i="1" s="1"/>
  <c r="M59" i="1"/>
  <c r="M61" i="1" s="1"/>
  <c r="N59" i="1"/>
  <c r="N61" i="1" s="1"/>
  <c r="I60" i="1"/>
  <c r="J60" i="1"/>
  <c r="I61" i="1"/>
  <c r="J61" i="1"/>
  <c r="K61" i="1"/>
  <c r="L61" i="1"/>
  <c r="I62" i="1"/>
  <c r="J62" i="1"/>
  <c r="K62" i="1"/>
  <c r="K63" i="1" s="1"/>
  <c r="L62" i="1"/>
  <c r="L63" i="1" s="1"/>
  <c r="M62" i="1"/>
  <c r="M64" i="1" s="1"/>
  <c r="N62" i="1"/>
  <c r="N64" i="1" s="1"/>
  <c r="I63" i="1"/>
  <c r="J63" i="1"/>
  <c r="I64" i="1"/>
  <c r="J64" i="1"/>
  <c r="K64" i="1"/>
  <c r="L64" i="1"/>
  <c r="G65" i="1"/>
  <c r="H65" i="1"/>
  <c r="I65" i="1"/>
  <c r="J65" i="1"/>
  <c r="K65" i="1"/>
  <c r="K66" i="1" s="1"/>
  <c r="L65" i="1"/>
  <c r="L66" i="1" s="1"/>
  <c r="M65" i="1"/>
  <c r="M67" i="1" s="1"/>
  <c r="N65" i="1"/>
  <c r="N67" i="1" s="1"/>
  <c r="G66" i="1"/>
  <c r="H66" i="1"/>
  <c r="I66" i="1"/>
  <c r="J66" i="1"/>
  <c r="G67" i="1"/>
  <c r="H67" i="1"/>
  <c r="I67" i="1"/>
  <c r="J67" i="1"/>
  <c r="K67" i="1"/>
  <c r="L67" i="1"/>
  <c r="G70" i="1"/>
  <c r="H70" i="1"/>
  <c r="I70" i="1"/>
  <c r="J70" i="1"/>
  <c r="K70" i="1"/>
  <c r="L70" i="1"/>
  <c r="M70" i="1"/>
  <c r="N70" i="1"/>
  <c r="I20" i="1" l="1"/>
  <c r="I21" i="1"/>
  <c r="N23" i="1"/>
  <c r="G20" i="1"/>
  <c r="M17" i="1"/>
  <c r="F20" i="1"/>
  <c r="L17" i="1"/>
  <c r="K23" i="1"/>
  <c r="L23" i="1"/>
  <c r="H21" i="1"/>
  <c r="N18" i="1"/>
  <c r="J17" i="1"/>
  <c r="M24" i="1"/>
  <c r="E20" i="1"/>
  <c r="K17" i="1"/>
  <c r="N66" i="1"/>
  <c r="N63" i="1"/>
  <c r="N60" i="1"/>
  <c r="J23" i="1"/>
  <c r="M66" i="1"/>
  <c r="M63" i="1"/>
  <c r="M60" i="1"/>
  <c r="I23" i="1"/>
  <c r="M19" i="1"/>
  <c r="I17" i="1"/>
  <c r="G16" i="1"/>
  <c r="H62" i="1"/>
  <c r="H59" i="1"/>
  <c r="L19" i="1"/>
  <c r="F16" i="1"/>
  <c r="G62" i="1"/>
  <c r="G59" i="1"/>
  <c r="G23" i="1"/>
  <c r="K19" i="1"/>
  <c r="E16" i="1"/>
  <c r="H63" i="1" l="1"/>
  <c r="H64" i="1"/>
  <c r="G18" i="1"/>
  <c r="G17" i="1"/>
  <c r="M21" i="1"/>
  <c r="M20" i="1"/>
  <c r="E17" i="1"/>
  <c r="E18" i="1"/>
  <c r="K20" i="1"/>
  <c r="K21" i="1"/>
  <c r="G61" i="1"/>
  <c r="G60" i="1"/>
  <c r="G64" i="1"/>
  <c r="G63" i="1"/>
  <c r="F17" i="1"/>
  <c r="F18" i="1"/>
  <c r="L20" i="1"/>
  <c r="L21" i="1"/>
  <c r="H60" i="1"/>
  <c r="H61" i="1"/>
</calcChain>
</file>

<file path=xl/sharedStrings.xml><?xml version="1.0" encoding="utf-8"?>
<sst xmlns="http://schemas.openxmlformats.org/spreadsheetml/2006/main" count="200" uniqueCount="78">
  <si>
    <t>Panel</t>
  </si>
  <si>
    <t>kg</t>
  </si>
  <si>
    <t>Unit</t>
  </si>
  <si>
    <t>Gross Weight</t>
  </si>
  <si>
    <t>Unit Weight</t>
  </si>
  <si>
    <t>1170x1170x75</t>
  </si>
  <si>
    <t>1010x1010x75</t>
  </si>
  <si>
    <t>860x860x75</t>
  </si>
  <si>
    <t>720x710x75</t>
  </si>
  <si>
    <t>mm</t>
  </si>
  <si>
    <t>1054x1054x305</t>
  </si>
  <si>
    <t>925x925x310</t>
  </si>
  <si>
    <t>800x800x310</t>
  </si>
  <si>
    <t>675x675x270</t>
  </si>
  <si>
    <t>Packing Dimension W/D/H</t>
  </si>
  <si>
    <t>1140x1140x30</t>
  </si>
  <si>
    <t>980x980x30</t>
  </si>
  <si>
    <t>830x830x30</t>
  </si>
  <si>
    <t>680x680x30</t>
  </si>
  <si>
    <t>960x960x290</t>
  </si>
  <si>
    <t>832x832x290</t>
  </si>
  <si>
    <t>705x705x290</t>
  </si>
  <si>
    <t>580x580x250</t>
  </si>
  <si>
    <t>Unit Dimension W/D/H</t>
  </si>
  <si>
    <t>Infrared Remote Controller (Optional: Wired Controller)</t>
  </si>
  <si>
    <t>Controller</t>
  </si>
  <si>
    <t>d26</t>
  </si>
  <si>
    <t>Drain Pan Pipe Size</t>
  </si>
  <si>
    <t>3/4" Female</t>
  </si>
  <si>
    <t>Inlet/Outlet Water Pipe Size</t>
  </si>
  <si>
    <t>Copper - Aluminum</t>
  </si>
  <si>
    <t>Heat exchanger material</t>
  </si>
  <si>
    <t>4 - pipes</t>
  </si>
  <si>
    <t>Heat exchanger type</t>
  </si>
  <si>
    <t>AC Permanent Split Capacitor (PSC) type</t>
  </si>
  <si>
    <t>Motor Type</t>
  </si>
  <si>
    <t>Centrifugal Fan</t>
  </si>
  <si>
    <t>Fan Type</t>
  </si>
  <si>
    <t>B</t>
  </si>
  <si>
    <t>Insulation Class</t>
  </si>
  <si>
    <t>Mpa</t>
  </si>
  <si>
    <t>Max. Working Pressure</t>
  </si>
  <si>
    <t>Heating</t>
  </si>
  <si>
    <t>kPa</t>
  </si>
  <si>
    <t>Cooling</t>
  </si>
  <si>
    <t>Water Pressure loss</t>
  </si>
  <si>
    <t>l/h</t>
  </si>
  <si>
    <t>Water Flow</t>
  </si>
  <si>
    <t>Low</t>
  </si>
  <si>
    <t>Med.</t>
  </si>
  <si>
    <t>High</t>
  </si>
  <si>
    <t>dB(A)</t>
  </si>
  <si>
    <t>Noise Level  (H/M/L)</t>
  </si>
  <si>
    <t>A</t>
  </si>
  <si>
    <t>Max Current</t>
  </si>
  <si>
    <t>W</t>
  </si>
  <si>
    <t>Max Power</t>
  </si>
  <si>
    <t>220~230V / 1Ph / 50 or 60Hz</t>
  </si>
  <si>
    <t>Power Supply</t>
  </si>
  <si>
    <t>Heating Capacity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</si>
  <si>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</si>
  <si>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</si>
  <si>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</si>
  <si>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Flow</t>
  </si>
  <si>
    <t>Model</t>
  </si>
  <si>
    <t>4-pipe system</t>
  </si>
  <si>
    <t>2 - pipes</t>
  </si>
  <si>
    <t>2-pipe system</t>
  </si>
  <si>
    <t>Deviation -</t>
  </si>
  <si>
    <t>Deviation +</t>
  </si>
  <si>
    <t>Technical Specifications</t>
  </si>
  <si>
    <t>Desired capacity, W</t>
  </si>
  <si>
    <t>Cassette fan coils CF</t>
  </si>
  <si>
    <t>Room t., °C</t>
  </si>
  <si>
    <t>dT</t>
  </si>
  <si>
    <t>Outlet water t., °C</t>
  </si>
  <si>
    <t>Cooling / Heating</t>
  </si>
  <si>
    <t>Inlet water t., 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</si>
</sst>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1"/>
      <name val="Open Sans"/>
      <family val="2"/>
    </font>
    <font>
      <sz val="12"/>
      <color rgb="FF000000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4"/>
      <name val="Open Sans"/>
      <family val="2"/>
    </font>
    <font>
      <b/>
      <sz val="20"/>
      <name val="Open Sans"/>
      <family val="2"/>
    </font>
    <font>
      <b/>
      <sz val="22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E6E8E8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</cellStyleXfs>
  <cellXfs count="133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center" vertical="top" shrinkToFit="1"/>
    </xf>
    <xf numFmtId="164" fontId="2" fillId="0" borderId="0" xfId="0" applyNumberFormat="1" applyFont="1" applyAlignment="1">
      <alignment horizontal="center" vertical="center" shrinkToFi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shrinkToFit="1"/>
    </xf>
    <xf numFmtId="164" fontId="2" fillId="0" borderId="2" xfId="0" applyNumberFormat="1" applyFont="1" applyBorder="1" applyAlignment="1">
      <alignment horizontal="center" vertical="center" shrinkToFit="1"/>
    </xf>
    <xf numFmtId="164" fontId="2" fillId="0" borderId="3" xfId="0" applyNumberFormat="1" applyFont="1" applyBorder="1" applyAlignment="1">
      <alignment horizontal="center" vertical="center" shrinkToFit="1"/>
    </xf>
    <xf numFmtId="164" fontId="2" fillId="0" borderId="4" xfId="0" applyNumberFormat="1" applyFont="1" applyBorder="1" applyAlignment="1">
      <alignment horizontal="center" vertical="center" shrinkToFit="1"/>
    </xf>
    <xf numFmtId="164" fontId="2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1" fontId="2" fillId="0" borderId="1" xfId="0" applyNumberFormat="1" applyFont="1" applyBorder="1" applyAlignment="1">
      <alignment horizontal="center" vertical="center" shrinkToFi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3" fontId="2" fillId="0" borderId="1" xfId="0" applyNumberFormat="1" applyFont="1" applyBorder="1" applyAlignment="1">
      <alignment horizontal="center" vertical="center" shrinkToFit="1"/>
    </xf>
    <xf numFmtId="3" fontId="2" fillId="2" borderId="1" xfId="0" applyNumberFormat="1" applyFont="1" applyFill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2" fontId="2" fillId="0" borderId="1" xfId="0" applyNumberFormat="1" applyFont="1" applyBorder="1" applyAlignment="1">
      <alignment horizontal="center" vertical="center" shrinkToFit="1"/>
    </xf>
    <xf numFmtId="2" fontId="2" fillId="2" borderId="1" xfId="0" applyNumberFormat="1" applyFont="1" applyFill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1" fontId="2" fillId="2" borderId="1" xfId="0" applyNumberFormat="1" applyFont="1" applyFill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top" wrapText="1"/>
    </xf>
    <xf numFmtId="2" fontId="2" fillId="0" borderId="0" xfId="0" applyNumberFormat="1" applyFont="1" applyAlignment="1">
      <alignment horizontal="left" vertical="top"/>
    </xf>
    <xf numFmtId="3" fontId="2" fillId="0" borderId="15" xfId="0" applyNumberFormat="1" applyFont="1" applyBorder="1" applyAlignment="1">
      <alignment horizontal="center" vertical="center" shrinkToFit="1"/>
    </xf>
    <xf numFmtId="3" fontId="2" fillId="2" borderId="16" xfId="0" applyNumberFormat="1" applyFont="1" applyFill="1" applyBorder="1" applyAlignment="1">
      <alignment horizontal="center" vertical="center" shrinkToFit="1"/>
    </xf>
    <xf numFmtId="3" fontId="2" fillId="0" borderId="16" xfId="0" applyNumberFormat="1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3" fontId="2" fillId="0" borderId="18" xfId="0" applyNumberFormat="1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left" vertical="top" wrapText="1"/>
    </xf>
    <xf numFmtId="3" fontId="2" fillId="0" borderId="20" xfId="0" applyNumberFormat="1" applyFont="1" applyBorder="1" applyAlignment="1">
      <alignment horizontal="center" vertical="center" shrinkToFit="1"/>
    </xf>
    <xf numFmtId="3" fontId="2" fillId="2" borderId="21" xfId="0" applyNumberFormat="1" applyFont="1" applyFill="1" applyBorder="1" applyAlignment="1">
      <alignment horizontal="center" vertical="center" shrinkToFit="1"/>
    </xf>
    <xf numFmtId="3" fontId="2" fillId="0" borderId="21" xfId="0" applyNumberFormat="1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top" wrapText="1"/>
    </xf>
    <xf numFmtId="0" fontId="2" fillId="0" borderId="22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vertical="top" wrapText="1"/>
    </xf>
    <xf numFmtId="0" fontId="2" fillId="0" borderId="0" xfId="0" applyFont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26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7" xfId="0" applyFont="1" applyBorder="1" applyAlignment="1">
      <alignment horizontal="center" vertical="top" wrapText="1"/>
    </xf>
    <xf numFmtId="1" fontId="2" fillId="0" borderId="15" xfId="0" applyNumberFormat="1" applyFont="1" applyBorder="1" applyAlignment="1">
      <alignment horizontal="center" vertical="center" shrinkToFit="1"/>
    </xf>
    <xf numFmtId="1" fontId="2" fillId="2" borderId="16" xfId="0" applyNumberFormat="1" applyFont="1" applyFill="1" applyBorder="1" applyAlignment="1">
      <alignment horizontal="center" vertical="center" shrinkToFit="1"/>
    </xf>
    <xf numFmtId="1" fontId="2" fillId="0" borderId="16" xfId="0" applyNumberFormat="1" applyFont="1" applyBorder="1" applyAlignment="1">
      <alignment horizontal="center" vertical="center" shrinkToFit="1"/>
    </xf>
    <xf numFmtId="1" fontId="2" fillId="0" borderId="18" xfId="0" applyNumberFormat="1" applyFont="1" applyBorder="1" applyAlignment="1">
      <alignment horizontal="center" vertical="center" shrinkToFit="1"/>
    </xf>
    <xf numFmtId="1" fontId="2" fillId="0" borderId="20" xfId="0" applyNumberFormat="1" applyFont="1" applyBorder="1" applyAlignment="1">
      <alignment horizontal="center" vertical="center" shrinkToFit="1"/>
    </xf>
    <xf numFmtId="1" fontId="2" fillId="2" borderId="21" xfId="0" applyNumberFormat="1" applyFont="1" applyFill="1" applyBorder="1" applyAlignment="1">
      <alignment horizontal="center" vertical="center" shrinkToFit="1"/>
    </xf>
    <xf numFmtId="1" fontId="2" fillId="0" borderId="21" xfId="0" applyNumberFormat="1" applyFont="1" applyBorder="1" applyAlignment="1">
      <alignment horizontal="center" vertical="center" shrinkToFit="1"/>
    </xf>
    <xf numFmtId="0" fontId="2" fillId="0" borderId="0" xfId="1" applyFont="1" applyAlignment="1">
      <alignment horizontal="left" vertical="top"/>
    </xf>
    <xf numFmtId="0" fontId="2" fillId="0" borderId="0" xfId="1" applyFont="1" applyAlignment="1">
      <alignment horizontal="center" vertical="top"/>
    </xf>
    <xf numFmtId="0" fontId="5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5" fillId="0" borderId="0" xfId="1" applyFont="1" applyAlignment="1">
      <alignment vertical="top"/>
    </xf>
    <xf numFmtId="0" fontId="2" fillId="0" borderId="0" xfId="0" applyFont="1" applyAlignment="1" applyProtection="1">
      <alignment horizontal="left" vertical="top"/>
      <protection hidden="1"/>
    </xf>
    <xf numFmtId="0" fontId="2" fillId="0" borderId="0" xfId="0" applyFont="1" applyAlignment="1" applyProtection="1">
      <alignment horizontal="right" vertical="top"/>
      <protection hidden="1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vertical="center"/>
    </xf>
    <xf numFmtId="9" fontId="2" fillId="0" borderId="1" xfId="2" applyFont="1" applyFill="1" applyBorder="1" applyAlignment="1" applyProtection="1">
      <alignment horizontal="center" vertical="center"/>
      <protection locked="0" hidden="1"/>
    </xf>
    <xf numFmtId="0" fontId="2" fillId="0" borderId="0" xfId="3" applyFont="1" applyAlignment="1" applyProtection="1">
      <alignment horizontal="right" vertic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7" fillId="0" borderId="0" xfId="1" applyFont="1" applyAlignment="1">
      <alignment horizontal="center" vertical="center"/>
    </xf>
    <xf numFmtId="3" fontId="5" fillId="0" borderId="1" xfId="0" applyNumberFormat="1" applyFont="1" applyBorder="1" applyAlignment="1" applyProtection="1">
      <alignment horizontal="center" vertical="center"/>
      <protection locked="0" hidden="1"/>
    </xf>
    <xf numFmtId="0" fontId="8" fillId="0" borderId="0" xfId="1" applyFont="1" applyAlignment="1">
      <alignment vertical="center"/>
    </xf>
    <xf numFmtId="0" fontId="9" fillId="0" borderId="0" xfId="1" applyFont="1" applyAlignment="1">
      <alignment horizontal="center" vertical="center"/>
    </xf>
    <xf numFmtId="0" fontId="2" fillId="0" borderId="0" xfId="0" applyFont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left" vertical="center"/>
      <protection locked="0" hidden="1"/>
    </xf>
    <xf numFmtId="0" fontId="2" fillId="0" borderId="0" xfId="3" applyFont="1" applyAlignment="1" applyProtection="1">
      <alignment vertical="center"/>
      <protection hidden="1"/>
    </xf>
    <xf numFmtId="0" fontId="5" fillId="0" borderId="1" xfId="0" applyFont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horizontal="center" vertical="top"/>
      <protection hidden="1"/>
    </xf>
    <xf numFmtId="0" fontId="2" fillId="0" borderId="0" xfId="0" applyFont="1" applyAlignment="1" applyProtection="1">
      <alignment vertical="top"/>
      <protection hidden="1"/>
    </xf>
  </cellXfs>
  <cellStyles count="4">
    <cellStyle name="Įprastas 2" xfId="3" xr:uid="{C719E6B8-FB18-4634-AF25-C4710B6A8A8C}"/>
    <cellStyle name="Normal" xfId="0" builtinId="0"/>
    <cellStyle name="Normal 2" xfId="1" xr:uid="{63DF8B45-2385-4CDC-83F9-0708947FA393}"/>
    <cellStyle name="Percent 2" xfId="2" xr:uid="{D5065152-9A19-42B3-B89A-8837FA54CE75}"/>
  </cellStyles>
  <dxfs count="2"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3723FD0E-9687-4BD1-8D2D-A1CA25595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629443" y="20000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95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9A80D054-D3A8-455C-9F82-D7E94951D1B7}"/>
            </a:ext>
          </a:extLst>
        </xdr:cNvPr>
        <xdr:cNvSpPr/>
      </xdr:nvSpPr>
      <xdr:spPr>
        <a:xfrm>
          <a:off x="2518397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95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6869A2BC-44FE-4B31-A2BB-477D05FCB8BA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95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3F863998-DB79-405D-B779-437E1528EF2B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95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772093A9-870D-4473-9150-9759FD6252A5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784C0332-2B25-45A1-8C8D-5388F52CFA2C}"/>
            </a:ext>
          </a:extLst>
        </xdr:cNvPr>
        <xdr:cNvSpPr/>
      </xdr:nvSpPr>
      <xdr:spPr>
        <a:xfrm>
          <a:off x="8427720" y="184404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D71F6B24-F24B-493C-AEB1-CF082E99E8E2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93A5938D-CB96-44CC-9010-C1597B885D3B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EB1AEEEA-5F64-4E35-AE51-626D5D57B7CB}"/>
            </a:ext>
          </a:extLst>
        </xdr:cNvPr>
        <xdr:cNvSpPr/>
      </xdr:nvSpPr>
      <xdr:spPr>
        <a:xfrm>
          <a:off x="8427720" y="184404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A01FF71E-01F9-48BA-977A-672C41198E64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2A672C25-68B1-41A0-891D-369DC4E40A35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72B47A2E-AED0-48D6-B382-7A04EF5E8721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C47547C9-D89C-4E04-9C7F-73EFBCE64E10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A5563229-484E-455D-9AAC-FA634359F872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2EEA3A3C-8C90-441A-A123-DE95A932184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D3141882-4E03-4581-A97D-071827B41817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41B0ADF7-5A62-4D58-9C81-98736BF6503C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DAE36C82-D1BF-446C-ABED-55A8A4D3B7DD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968041B6-4837-45C5-82EA-6E176F10C09A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28C0E310-307C-4235-82D9-3325A8919EA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95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4E47AD04-7D6F-4452-B799-01BB7CB64F7D}"/>
            </a:ext>
          </a:extLst>
        </xdr:cNvPr>
        <xdr:cNvSpPr/>
      </xdr:nvSpPr>
      <xdr:spPr>
        <a:xfrm>
          <a:off x="3611880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95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6ADC2EBF-3BC2-46BD-BF59-76C23BC2C261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95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33C4B81F-3D8C-40D8-83EC-142C7CBC2B5E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95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D3E4D094-45E3-44E5-86E2-4EFC3CCD35ED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CA21DB7B-23DC-4899-8217-C84C8A7F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9202" y="203497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83281-9B3A-4737-97F6-577D0BA31899}">
  <dimension ref="B1:AT95"/>
  <sheetViews>
    <sheetView tabSelected="1" zoomScale="90" zoomScaleNormal="90" zoomScaleSheetLayoutView="85" workbookViewId="0">
      <selection activeCell="B12" sqref="B12:D12"/>
    </sheetView>
  </sheetViews>
  <sheetFormatPr defaultColWidth="8.77734375" defaultRowHeight="17.399999999999999" x14ac:dyDescent="0.25"/>
  <cols>
    <col min="1" max="1" width="5.44140625" style="1" customWidth="1"/>
    <col min="2" max="2" width="32.77734375" style="1" bestFit="1" customWidth="1"/>
    <col min="3" max="3" width="7.109375" style="1" bestFit="1" customWidth="1"/>
    <col min="4" max="4" width="9.109375" style="1" customWidth="1"/>
    <col min="5" max="13" width="16.33203125" style="3" customWidth="1"/>
    <col min="14" max="14" width="17.44140625" style="3" customWidth="1"/>
    <col min="15" max="42" width="8.77734375" style="1"/>
    <col min="43" max="43" width="8.77734375" style="2"/>
    <col min="44" max="44" width="8.77734375" style="1"/>
    <col min="45" max="46" width="0" style="1" hidden="1" customWidth="1"/>
    <col min="47" max="16384" width="8.77734375" style="1"/>
  </cols>
  <sheetData>
    <row r="1" spans="2:46" s="111" customFormat="1" x14ac:dyDescent="0.25">
      <c r="E1" s="118"/>
      <c r="F1" s="118"/>
      <c r="G1" s="118"/>
      <c r="H1" s="118"/>
      <c r="I1" s="118"/>
      <c r="J1" s="118"/>
      <c r="K1" s="118"/>
      <c r="L1" s="118"/>
      <c r="M1" s="118"/>
      <c r="N1" s="118"/>
      <c r="AQ1" s="112"/>
    </row>
    <row r="2" spans="2:46" s="111" customFormat="1" x14ac:dyDescent="0.25">
      <c r="D2" s="113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6"/>
      <c r="AR2" s="132"/>
    </row>
    <row r="3" spans="2:46" s="111" customFormat="1" x14ac:dyDescent="0.25">
      <c r="D3" s="115"/>
      <c r="E3" s="118"/>
      <c r="F3" s="118"/>
      <c r="G3" s="118"/>
      <c r="H3" s="118"/>
      <c r="I3" s="118"/>
      <c r="J3" s="118"/>
      <c r="K3" s="118"/>
      <c r="L3" s="122"/>
      <c r="M3" s="121" t="s">
        <v>77</v>
      </c>
      <c r="N3" s="130">
        <v>7</v>
      </c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6"/>
      <c r="AR3" s="116"/>
      <c r="AS3" s="117" t="s">
        <v>76</v>
      </c>
      <c r="AT3" s="131">
        <f>N3-N4</f>
        <v>-5</v>
      </c>
    </row>
    <row r="4" spans="2:46" s="111" customFormat="1" x14ac:dyDescent="0.25">
      <c r="D4" s="115"/>
      <c r="E4" s="118"/>
      <c r="F4" s="118"/>
      <c r="G4" s="118"/>
      <c r="H4" s="118"/>
      <c r="I4" s="118"/>
      <c r="J4" s="118"/>
      <c r="K4" s="118"/>
      <c r="L4" s="122"/>
      <c r="M4" s="121" t="s">
        <v>75</v>
      </c>
      <c r="N4" s="130">
        <v>12</v>
      </c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6"/>
      <c r="AR4" s="116"/>
      <c r="AS4" s="117" t="s">
        <v>74</v>
      </c>
      <c r="AT4" s="131">
        <f>IF((N5-(N4+N3)/2)&lt;0, 0-(N5-(N4+N3)/2),(N5-(N4+N3)/2))</f>
        <v>10.5</v>
      </c>
    </row>
    <row r="5" spans="2:46" s="111" customFormat="1" x14ac:dyDescent="0.25">
      <c r="D5" s="115"/>
      <c r="E5" s="118"/>
      <c r="F5" s="118"/>
      <c r="G5" s="118"/>
      <c r="H5" s="118"/>
      <c r="I5" s="118"/>
      <c r="J5" s="118"/>
      <c r="K5" s="118"/>
      <c r="L5" s="122"/>
      <c r="M5" s="121" t="s">
        <v>73</v>
      </c>
      <c r="N5" s="130">
        <v>20</v>
      </c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6"/>
      <c r="AR5" s="116"/>
      <c r="AS5" s="116"/>
      <c r="AT5" s="127">
        <f>IF(N7*(1-$N$9)=0,0.00001,N7*(1-$N$9))</f>
        <v>2450</v>
      </c>
    </row>
    <row r="6" spans="2:46" s="111" customFormat="1" ht="17.399999999999999" customHeight="1" x14ac:dyDescent="0.25">
      <c r="D6" s="115"/>
      <c r="E6" s="114"/>
      <c r="F6" s="118"/>
      <c r="G6" s="126" t="s">
        <v>72</v>
      </c>
      <c r="H6" s="126"/>
      <c r="I6" s="126"/>
      <c r="J6" s="126"/>
      <c r="K6" s="125"/>
      <c r="L6" s="122"/>
      <c r="M6" s="129"/>
      <c r="N6" s="128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6"/>
      <c r="AR6" s="116"/>
      <c r="AS6" s="116"/>
      <c r="AT6" s="127">
        <f>IF(N7*(1+$N$8)=0,0.00001,N7*(1+$N$8))</f>
        <v>3000</v>
      </c>
    </row>
    <row r="7" spans="2:46" s="111" customFormat="1" ht="17.399999999999999" customHeight="1" x14ac:dyDescent="0.25">
      <c r="D7" s="115"/>
      <c r="E7" s="114"/>
      <c r="F7" s="125"/>
      <c r="G7" s="126"/>
      <c r="H7" s="126"/>
      <c r="I7" s="126"/>
      <c r="J7" s="126"/>
      <c r="K7" s="125"/>
      <c r="L7" s="122"/>
      <c r="M7" s="121" t="s">
        <v>71</v>
      </c>
      <c r="N7" s="124">
        <v>2500</v>
      </c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6"/>
      <c r="AR7" s="116"/>
      <c r="AS7" s="116"/>
    </row>
    <row r="8" spans="2:46" s="111" customFormat="1" ht="17.399999999999999" customHeight="1" x14ac:dyDescent="0.25">
      <c r="D8" s="115"/>
      <c r="E8" s="114"/>
      <c r="F8" s="118"/>
      <c r="G8" s="123" t="s">
        <v>70</v>
      </c>
      <c r="H8" s="123"/>
      <c r="I8" s="123"/>
      <c r="J8" s="123"/>
      <c r="K8" s="119"/>
      <c r="L8" s="122"/>
      <c r="M8" s="121" t="s">
        <v>69</v>
      </c>
      <c r="N8" s="120">
        <v>0.2</v>
      </c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6"/>
      <c r="AT8" s="116"/>
    </row>
    <row r="9" spans="2:46" s="111" customFormat="1" ht="17.399999999999999" customHeight="1" thickBot="1" x14ac:dyDescent="0.3">
      <c r="D9" s="115"/>
      <c r="E9" s="114"/>
      <c r="F9" s="118"/>
      <c r="G9" s="118"/>
      <c r="H9" s="118"/>
      <c r="I9" s="118"/>
      <c r="J9" s="119"/>
      <c r="K9" s="119"/>
      <c r="L9" s="122"/>
      <c r="M9" s="121" t="s">
        <v>68</v>
      </c>
      <c r="N9" s="120">
        <v>0.02</v>
      </c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6"/>
      <c r="AR9" s="116"/>
      <c r="AS9" s="116"/>
      <c r="AT9" s="116"/>
    </row>
    <row r="10" spans="2:46" s="111" customFormat="1" ht="17.399999999999999" customHeight="1" thickBot="1" x14ac:dyDescent="0.3">
      <c r="D10" s="115"/>
      <c r="E10" s="118"/>
      <c r="F10" s="118"/>
      <c r="G10" s="118"/>
      <c r="H10" s="77" t="s">
        <v>67</v>
      </c>
      <c r="I10" s="76"/>
      <c r="J10" s="119"/>
      <c r="K10" s="118"/>
      <c r="L10" s="118"/>
      <c r="M10" s="118"/>
      <c r="N10" s="118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6"/>
      <c r="AR10" s="116"/>
      <c r="AS10" s="116"/>
      <c r="AT10" s="116"/>
    </row>
    <row r="11" spans="2:46" s="111" customFormat="1" x14ac:dyDescent="0.25">
      <c r="D11" s="115"/>
      <c r="E11" s="114"/>
      <c r="F11" s="114"/>
      <c r="G11" s="114"/>
      <c r="H11" s="114"/>
      <c r="I11" s="114"/>
      <c r="J11" s="114"/>
      <c r="K11" s="114"/>
      <c r="L11" s="114"/>
      <c r="M11" s="113"/>
      <c r="N11" s="113"/>
      <c r="AQ11" s="112"/>
    </row>
    <row r="12" spans="2:46" s="2" customFormat="1" ht="18" thickBot="1" x14ac:dyDescent="0.3">
      <c r="B12" s="93" t="s">
        <v>64</v>
      </c>
      <c r="C12" s="93"/>
      <c r="D12" s="93"/>
      <c r="E12" s="73" t="str">
        <f>"CF2"&amp;"-"&amp;E13/10&amp;"-AC"</f>
        <v>CF2-34-AC</v>
      </c>
      <c r="F12" s="73" t="str">
        <f>"CF2"&amp;"-"&amp;F13/10&amp;"-AC"</f>
        <v>CF2-51-AC</v>
      </c>
      <c r="G12" s="73" t="str">
        <f>"CF2"&amp;"-"&amp;G13/10&amp;"-AC"</f>
        <v>CF2-68-AC</v>
      </c>
      <c r="H12" s="73" t="str">
        <f>"CF2"&amp;"-"&amp;H13/10&amp;"-AC"</f>
        <v>CF2-85-AC</v>
      </c>
      <c r="I12" s="73" t="str">
        <f>"CF2"&amp;"-"&amp;I13/10&amp;"-AC"</f>
        <v>CF2-102-AC</v>
      </c>
      <c r="J12" s="73" t="str">
        <f>"CF2"&amp;"-"&amp;J13/10&amp;"-AC"</f>
        <v>CF2-136-AC</v>
      </c>
      <c r="K12" s="73" t="str">
        <f>"CF2"&amp;"-"&amp;K13/10&amp;"-AC"</f>
        <v>CF2-170-AC</v>
      </c>
      <c r="L12" s="73" t="str">
        <f>"CF2"&amp;"-"&amp;L13/10&amp;"-AC"</f>
        <v>CF2-204-AC</v>
      </c>
      <c r="M12" s="73" t="str">
        <f>"CF2"&amp;"-"&amp;M13/10&amp;"-AC"</f>
        <v>CF2-238-AC</v>
      </c>
      <c r="N12" s="73" t="str">
        <f>"CF2"&amp;"-"&amp;N13/10&amp;"-AC"</f>
        <v>CF2-289-AC</v>
      </c>
    </row>
    <row r="13" spans="2:46" s="1" customFormat="1" ht="17.399999999999999" customHeight="1" x14ac:dyDescent="0.25">
      <c r="B13" s="72" t="s">
        <v>63</v>
      </c>
      <c r="C13" s="103" t="s">
        <v>62</v>
      </c>
      <c r="D13" s="102" t="s">
        <v>50</v>
      </c>
      <c r="E13" s="109">
        <v>340</v>
      </c>
      <c r="F13" s="110">
        <v>510</v>
      </c>
      <c r="G13" s="109">
        <v>680</v>
      </c>
      <c r="H13" s="110">
        <v>850</v>
      </c>
      <c r="I13" s="109">
        <v>1020</v>
      </c>
      <c r="J13" s="110">
        <v>1360</v>
      </c>
      <c r="K13" s="109">
        <v>1700</v>
      </c>
      <c r="L13" s="110">
        <v>2040</v>
      </c>
      <c r="M13" s="109">
        <v>2380</v>
      </c>
      <c r="N13" s="108">
        <v>2890</v>
      </c>
      <c r="AQ13" s="2"/>
    </row>
    <row r="14" spans="2:46" s="1" customFormat="1" x14ac:dyDescent="0.25">
      <c r="B14" s="65"/>
      <c r="C14" s="91"/>
      <c r="D14" s="78" t="s">
        <v>49</v>
      </c>
      <c r="E14" s="51">
        <v>255</v>
      </c>
      <c r="F14" s="18">
        <v>383</v>
      </c>
      <c r="G14" s="51">
        <v>510</v>
      </c>
      <c r="H14" s="18">
        <v>638</v>
      </c>
      <c r="I14" s="51">
        <v>765</v>
      </c>
      <c r="J14" s="18">
        <v>1020</v>
      </c>
      <c r="K14" s="51">
        <v>1275</v>
      </c>
      <c r="L14" s="18">
        <v>1530</v>
      </c>
      <c r="M14" s="51">
        <v>1785</v>
      </c>
      <c r="N14" s="107">
        <v>2100</v>
      </c>
      <c r="AQ14" s="2"/>
    </row>
    <row r="15" spans="2:46" s="1" customFormat="1" ht="18" thickBot="1" x14ac:dyDescent="0.3">
      <c r="B15" s="63"/>
      <c r="C15" s="101"/>
      <c r="D15" s="100" t="s">
        <v>48</v>
      </c>
      <c r="E15" s="105">
        <v>170</v>
      </c>
      <c r="F15" s="106">
        <v>255</v>
      </c>
      <c r="G15" s="105">
        <v>340</v>
      </c>
      <c r="H15" s="106">
        <v>425</v>
      </c>
      <c r="I15" s="105">
        <v>510</v>
      </c>
      <c r="J15" s="106">
        <v>680</v>
      </c>
      <c r="K15" s="105">
        <v>850</v>
      </c>
      <c r="L15" s="106">
        <v>1020</v>
      </c>
      <c r="M15" s="105">
        <v>1190</v>
      </c>
      <c r="N15" s="104">
        <v>1600</v>
      </c>
      <c r="AQ15" s="2"/>
    </row>
    <row r="16" spans="2:46" s="1" customFormat="1" x14ac:dyDescent="0.25">
      <c r="B16" s="72" t="s">
        <v>61</v>
      </c>
      <c r="C16" s="103" t="s">
        <v>55</v>
      </c>
      <c r="D16" s="102" t="s">
        <v>50</v>
      </c>
      <c r="E16" s="67">
        <f>IF($AT$3&lt;0,178*$AT$4-1315,"")</f>
        <v>554</v>
      </c>
      <c r="F16" s="68">
        <f>IF($AT$3&lt;0,274*$AT$4-2095,"")</f>
        <v>782</v>
      </c>
      <c r="G16" s="67">
        <f>IF($AT$3&lt;0,368*$AT$4-2840,"")</f>
        <v>1024</v>
      </c>
      <c r="H16" s="68">
        <f>IF($AT$3&lt;0,456*$AT$4-3480,"")</f>
        <v>1308</v>
      </c>
      <c r="I16" s="67">
        <f>IF($AT$3&lt;0,542*$AT$4-4085,"")</f>
        <v>1606</v>
      </c>
      <c r="J16" s="68">
        <f>IF($AT$3&lt;0,728*$AT$4-5540,"")</f>
        <v>2104</v>
      </c>
      <c r="K16" s="67">
        <f>IF($AT$3&lt;0,908*$AT$4-6890,"")</f>
        <v>2644</v>
      </c>
      <c r="L16" s="68">
        <f>IF($AT$3&lt;0,1096*$AT$4-8380,"")</f>
        <v>3128</v>
      </c>
      <c r="M16" s="67">
        <f>IF($AT$3&lt;0,1294*$AT$4-10045,"")</f>
        <v>3542</v>
      </c>
      <c r="N16" s="66">
        <f>IF($AT$3&lt;0,1574*$AT$4-12245,"")</f>
        <v>4282</v>
      </c>
      <c r="AQ16" s="2"/>
    </row>
    <row r="17" spans="2:43" s="1" customFormat="1" x14ac:dyDescent="0.25">
      <c r="B17" s="65"/>
      <c r="C17" s="91"/>
      <c r="D17" s="78" t="s">
        <v>49</v>
      </c>
      <c r="E17" s="39">
        <f>IFERROR(ROUND(E16*0.8,0),"")</f>
        <v>443</v>
      </c>
      <c r="F17" s="38">
        <f>IFERROR(ROUND(F16*0.8,0),"")</f>
        <v>626</v>
      </c>
      <c r="G17" s="39">
        <f>IFERROR(ROUND(G16*0.8,0),"")</f>
        <v>819</v>
      </c>
      <c r="H17" s="38">
        <f>IFERROR(ROUND(H16*0.8,0),"")</f>
        <v>1046</v>
      </c>
      <c r="I17" s="39">
        <f>IFERROR(ROUND(I16*0.8,0),"")</f>
        <v>1285</v>
      </c>
      <c r="J17" s="38">
        <f>IFERROR(ROUND(J16*0.8,0),"")</f>
        <v>1683</v>
      </c>
      <c r="K17" s="39">
        <f>IFERROR(ROUND(K16*0.8,0),"")</f>
        <v>2115</v>
      </c>
      <c r="L17" s="38">
        <f>IFERROR(ROUND(L16*0.8,0),"")</f>
        <v>2502</v>
      </c>
      <c r="M17" s="39">
        <f>IFERROR(ROUND(M16*0.8,0),"")</f>
        <v>2834</v>
      </c>
      <c r="N17" s="64">
        <f>IFERROR(ROUND(N16*0.8,0),"")</f>
        <v>3426</v>
      </c>
      <c r="AQ17" s="2"/>
    </row>
    <row r="18" spans="2:43" s="1" customFormat="1" ht="18" thickBot="1" x14ac:dyDescent="0.3">
      <c r="B18" s="63"/>
      <c r="C18" s="101"/>
      <c r="D18" s="100" t="s">
        <v>48</v>
      </c>
      <c r="E18" s="58">
        <f>IFERROR(ROUND(E16*0.6,0),"")</f>
        <v>332</v>
      </c>
      <c r="F18" s="59">
        <f>IFERROR(ROUND(F16*0.6,0),"")</f>
        <v>469</v>
      </c>
      <c r="G18" s="58">
        <f>IFERROR(ROUND(G16*0.6,0),"")</f>
        <v>614</v>
      </c>
      <c r="H18" s="59">
        <f>IFERROR(ROUND(H16*0.6,0),"")</f>
        <v>785</v>
      </c>
      <c r="I18" s="58">
        <f>IFERROR(ROUND(I16*0.6,0),"")</f>
        <v>964</v>
      </c>
      <c r="J18" s="59">
        <f>IFERROR(ROUND(J16*0.6,0),"")</f>
        <v>1262</v>
      </c>
      <c r="K18" s="58">
        <f>IFERROR(ROUND(K16*0.6,0),"")</f>
        <v>1586</v>
      </c>
      <c r="L18" s="59">
        <f>IFERROR(ROUND(L16*0.6,0),"")</f>
        <v>1877</v>
      </c>
      <c r="M18" s="58">
        <f>IFERROR(ROUND(M16*0.6,0),"")</f>
        <v>2125</v>
      </c>
      <c r="N18" s="57">
        <f>IFERROR(ROUND(N16*0.6,0),"")</f>
        <v>2569</v>
      </c>
      <c r="AQ18" s="2"/>
    </row>
    <row r="19" spans="2:43" s="1" customFormat="1" x14ac:dyDescent="0.25">
      <c r="B19" s="72" t="s">
        <v>60</v>
      </c>
      <c r="C19" s="103" t="s">
        <v>55</v>
      </c>
      <c r="D19" s="102" t="s">
        <v>50</v>
      </c>
      <c r="E19" s="67">
        <f>IF($AT$3&lt;0,90*$AT$4-215,"")</f>
        <v>730</v>
      </c>
      <c r="F19" s="68">
        <f>IF($AT$3&lt;0,154*$AT$4-595,"")</f>
        <v>1022</v>
      </c>
      <c r="G19" s="67">
        <f>IF($AT$3&lt;0,206*$AT$4-815,"")</f>
        <v>1348</v>
      </c>
      <c r="H19" s="68">
        <f>IF($AT$3&lt;0,230*$AT$4-655,"")</f>
        <v>1760</v>
      </c>
      <c r="I19" s="67">
        <f>IF($AT$3&lt;0,280*$AT$4-810,"")</f>
        <v>2130</v>
      </c>
      <c r="J19" s="68">
        <f>IF($AT$3&lt;0,428*$AT$4-1790,"")</f>
        <v>2704</v>
      </c>
      <c r="K19" s="67">
        <f>IF($AT$3&lt;0,464*$AT$4-1340,"")</f>
        <v>3532</v>
      </c>
      <c r="L19" s="68">
        <f>IF($AT$3&lt;0,586*$AT$4-2015,"")</f>
        <v>4138</v>
      </c>
      <c r="M19" s="67">
        <f>IF($AT$3&lt;0,638*$AT$4-1845,"")</f>
        <v>4854</v>
      </c>
      <c r="N19" s="66">
        <f>IF($AT$3&lt;0,778*$AT$4-2295,"")</f>
        <v>5874</v>
      </c>
      <c r="AQ19" s="2"/>
    </row>
    <row r="20" spans="2:43" s="1" customFormat="1" x14ac:dyDescent="0.25">
      <c r="B20" s="65"/>
      <c r="C20" s="91"/>
      <c r="D20" s="78" t="s">
        <v>49</v>
      </c>
      <c r="E20" s="39">
        <f>IFERROR(ROUND(E19*0.78,0),"")</f>
        <v>569</v>
      </c>
      <c r="F20" s="38">
        <f>IFERROR(ROUND(F19*0.78,0),"")</f>
        <v>797</v>
      </c>
      <c r="G20" s="39">
        <f>IFERROR(ROUND(G19*0.78,0),"")</f>
        <v>1051</v>
      </c>
      <c r="H20" s="38">
        <f>IFERROR(ROUND(H19*0.78,0),"")</f>
        <v>1373</v>
      </c>
      <c r="I20" s="39">
        <f>IFERROR(ROUND(I19*0.78,0),"")</f>
        <v>1661</v>
      </c>
      <c r="J20" s="38">
        <f>IFERROR(ROUND(J19*0.78,0),"")</f>
        <v>2109</v>
      </c>
      <c r="K20" s="39">
        <f>IFERROR(ROUND(K19*0.78,0),"")</f>
        <v>2755</v>
      </c>
      <c r="L20" s="38">
        <f>IFERROR(ROUND(L19*0.78,0),"")</f>
        <v>3228</v>
      </c>
      <c r="M20" s="39">
        <f>IFERROR(ROUND(M19*0.78,0),"")</f>
        <v>3786</v>
      </c>
      <c r="N20" s="64">
        <f>IFERROR(ROUND(N19*0.78,0),"")</f>
        <v>4582</v>
      </c>
      <c r="AQ20" s="2"/>
    </row>
    <row r="21" spans="2:43" s="1" customFormat="1" ht="18" thickBot="1" x14ac:dyDescent="0.3">
      <c r="B21" s="63"/>
      <c r="C21" s="101"/>
      <c r="D21" s="100" t="s">
        <v>48</v>
      </c>
      <c r="E21" s="58">
        <f>IFERROR(ROUND(E19*0.63,0),"")</f>
        <v>460</v>
      </c>
      <c r="F21" s="59">
        <f>IFERROR(ROUND(F19*0.63,0),"")</f>
        <v>644</v>
      </c>
      <c r="G21" s="58">
        <f>IFERROR(ROUND(G19*0.63,0),"")</f>
        <v>849</v>
      </c>
      <c r="H21" s="59">
        <f>IFERROR(ROUND(H19*0.63,0),"")</f>
        <v>1109</v>
      </c>
      <c r="I21" s="58">
        <f>IFERROR(ROUND(I19*0.63,0),"")</f>
        <v>1342</v>
      </c>
      <c r="J21" s="59">
        <f>IFERROR(ROUND(J19*0.63,0),"")</f>
        <v>1704</v>
      </c>
      <c r="K21" s="58">
        <f>IFERROR(ROUND(K19*0.63,0),"")</f>
        <v>2225</v>
      </c>
      <c r="L21" s="59">
        <f>IFERROR(ROUND(L19*0.63,0),"")</f>
        <v>2607</v>
      </c>
      <c r="M21" s="58">
        <f>IFERROR(ROUND(M19*0.63,0),"")</f>
        <v>3058</v>
      </c>
      <c r="N21" s="57">
        <f>IFERROR(ROUND(N19*0.63,0),"")</f>
        <v>3701</v>
      </c>
      <c r="AQ21" s="2"/>
    </row>
    <row r="22" spans="2:43" s="1" customFormat="1" x14ac:dyDescent="0.25">
      <c r="B22" s="72" t="s">
        <v>59</v>
      </c>
      <c r="C22" s="103" t="s">
        <v>55</v>
      </c>
      <c r="D22" s="102" t="s">
        <v>50</v>
      </c>
      <c r="E22" s="67" t="str">
        <f>IF($AT$3&gt;0,85.5*$AT$4-680,"")</f>
        <v/>
      </c>
      <c r="F22" s="68" t="str">
        <f>IF($AT$3&gt;0,125.5*$AT$4-870,"")</f>
        <v/>
      </c>
      <c r="G22" s="67" t="str">
        <f>IF($AT$3&gt;0,163.5*$AT$4-970,"")</f>
        <v/>
      </c>
      <c r="H22" s="68" t="str">
        <f>IF($AT$3&gt;0,202.5*$AT$4-1120,"")</f>
        <v/>
      </c>
      <c r="I22" s="67" t="str">
        <f>IF($AT$3&gt;0,246*$AT$4-1520,"")</f>
        <v/>
      </c>
      <c r="J22" s="68" t="str">
        <f>IF($AT$3&gt;0,328*$AT$4-2020,"")</f>
        <v/>
      </c>
      <c r="K22" s="67" t="str">
        <f>IF($AT$3&gt;0,404*$AT$4-2280,"")</f>
        <v/>
      </c>
      <c r="L22" s="68" t="str">
        <f>IF($AT$3&gt;0,485*$AT$4-2510,"")</f>
        <v/>
      </c>
      <c r="M22" s="67" t="str">
        <f>IF($AT$3&gt;0,573*$AT$4-3370,"")</f>
        <v/>
      </c>
      <c r="N22" s="66" t="str">
        <f>IF($AT$3&gt;0,710*$AT$4-3850,"")</f>
        <v/>
      </c>
      <c r="AQ22" s="2"/>
    </row>
    <row r="23" spans="2:43" s="1" customFormat="1" x14ac:dyDescent="0.25">
      <c r="B23" s="65"/>
      <c r="C23" s="91"/>
      <c r="D23" s="78" t="s">
        <v>49</v>
      </c>
      <c r="E23" s="39" t="str">
        <f>IFERROR(ROUND(E22*0.8,0),"")</f>
        <v/>
      </c>
      <c r="F23" s="38" t="str">
        <f>IFERROR(ROUND(F22*0.8,0),"")</f>
        <v/>
      </c>
      <c r="G23" s="39" t="str">
        <f>IFERROR(ROUND(G22*0.8,0),"")</f>
        <v/>
      </c>
      <c r="H23" s="38" t="str">
        <f>IFERROR(ROUND(H22*0.8,0),"")</f>
        <v/>
      </c>
      <c r="I23" s="39" t="str">
        <f>IFERROR(ROUND(I22*0.8,0),"")</f>
        <v/>
      </c>
      <c r="J23" s="38" t="str">
        <f>IFERROR(ROUND(J22*0.8,0),"")</f>
        <v/>
      </c>
      <c r="K23" s="39" t="str">
        <f>IFERROR(ROUND(K22*0.8,0),"")</f>
        <v/>
      </c>
      <c r="L23" s="38" t="str">
        <f>IFERROR(ROUND(L22*0.8,0),"")</f>
        <v/>
      </c>
      <c r="M23" s="39" t="str">
        <f>IFERROR(ROUND(M22*0.8,0),"")</f>
        <v/>
      </c>
      <c r="N23" s="64" t="str">
        <f>IFERROR(ROUND(N22*0.8,0),"")</f>
        <v/>
      </c>
      <c r="AQ23" s="2"/>
    </row>
    <row r="24" spans="2:43" s="1" customFormat="1" ht="18" thickBot="1" x14ac:dyDescent="0.3">
      <c r="B24" s="63"/>
      <c r="C24" s="101"/>
      <c r="D24" s="100" t="s">
        <v>48</v>
      </c>
      <c r="E24" s="58" t="str">
        <f>IFERROR(ROUND(E22*0.6,0),"")</f>
        <v/>
      </c>
      <c r="F24" s="59" t="str">
        <f>IFERROR(ROUND(F22*0.6,0),"")</f>
        <v/>
      </c>
      <c r="G24" s="58" t="str">
        <f>IFERROR(ROUND(G22*0.6,0),"")</f>
        <v/>
      </c>
      <c r="H24" s="59" t="str">
        <f>IFERROR(ROUND(H22*0.6,0),"")</f>
        <v/>
      </c>
      <c r="I24" s="58" t="str">
        <f>IFERROR(ROUND(I22*0.6,0),"")</f>
        <v/>
      </c>
      <c r="J24" s="59" t="str">
        <f>IFERROR(ROUND(J22*0.6,0),"")</f>
        <v/>
      </c>
      <c r="K24" s="58" t="str">
        <f>IFERROR(ROUND(K22*0.6,0),"")</f>
        <v/>
      </c>
      <c r="L24" s="59" t="str">
        <f>IFERROR(ROUND(L22*0.6,0),"")</f>
        <v/>
      </c>
      <c r="M24" s="58" t="str">
        <f>IFERROR(ROUND(M22*0.6,0),"")</f>
        <v/>
      </c>
      <c r="N24" s="57" t="str">
        <f>IFERROR(ROUND(N22*0.6,0),"")</f>
        <v/>
      </c>
      <c r="AQ24" s="2"/>
    </row>
    <row r="25" spans="2:43" s="27" customFormat="1" x14ac:dyDescent="0.25">
      <c r="B25" s="99" t="s">
        <v>58</v>
      </c>
      <c r="C25" s="98"/>
      <c r="D25" s="97"/>
      <c r="E25" s="96" t="s">
        <v>57</v>
      </c>
      <c r="F25" s="96"/>
      <c r="G25" s="96"/>
      <c r="H25" s="96"/>
      <c r="I25" s="96"/>
      <c r="J25" s="96"/>
      <c r="K25" s="96"/>
      <c r="L25" s="96"/>
      <c r="M25" s="96"/>
      <c r="N25" s="96"/>
      <c r="AQ25" s="28"/>
    </row>
    <row r="26" spans="2:43" s="27" customFormat="1" x14ac:dyDescent="0.25">
      <c r="B26" s="80" t="s">
        <v>56</v>
      </c>
      <c r="C26" s="78" t="s">
        <v>55</v>
      </c>
      <c r="D26" s="78"/>
      <c r="E26" s="51">
        <v>36</v>
      </c>
      <c r="F26" s="18">
        <v>50</v>
      </c>
      <c r="G26" s="51">
        <v>60</v>
      </c>
      <c r="H26" s="18">
        <v>74</v>
      </c>
      <c r="I26" s="51">
        <v>93</v>
      </c>
      <c r="J26" s="18">
        <v>130</v>
      </c>
      <c r="K26" s="51">
        <v>147</v>
      </c>
      <c r="L26" s="18">
        <v>183</v>
      </c>
      <c r="M26" s="51">
        <v>221</v>
      </c>
      <c r="N26" s="18">
        <v>330</v>
      </c>
      <c r="AQ26" s="28"/>
    </row>
    <row r="27" spans="2:43" s="27" customFormat="1" x14ac:dyDescent="0.25">
      <c r="B27" s="80" t="s">
        <v>54</v>
      </c>
      <c r="C27" s="78" t="s">
        <v>53</v>
      </c>
      <c r="D27" s="95"/>
      <c r="E27" s="46">
        <f>E26/230</f>
        <v>0.15652173913043479</v>
      </c>
      <c r="F27" s="45">
        <f>F26/230</f>
        <v>0.21739130434782608</v>
      </c>
      <c r="G27" s="46">
        <f>G26/230</f>
        <v>0.2608695652173913</v>
      </c>
      <c r="H27" s="45">
        <f>H26/230</f>
        <v>0.32173913043478258</v>
      </c>
      <c r="I27" s="46">
        <f>I26/230</f>
        <v>0.40434782608695652</v>
      </c>
      <c r="J27" s="45">
        <f>J26/230</f>
        <v>0.56521739130434778</v>
      </c>
      <c r="K27" s="46">
        <f>K26/230</f>
        <v>0.63913043478260867</v>
      </c>
      <c r="L27" s="45">
        <f>L26/230</f>
        <v>0.79565217391304344</v>
      </c>
      <c r="M27" s="46">
        <f>M26/230</f>
        <v>0.96086956521739131</v>
      </c>
      <c r="N27" s="45">
        <f>N26/230</f>
        <v>1.4347826086956521</v>
      </c>
      <c r="AQ27" s="28"/>
    </row>
    <row r="28" spans="2:43" s="1" customFormat="1" x14ac:dyDescent="0.25">
      <c r="B28" s="94" t="s">
        <v>52</v>
      </c>
      <c r="C28" s="93" t="s">
        <v>51</v>
      </c>
      <c r="D28" s="78" t="s">
        <v>50</v>
      </c>
      <c r="E28" s="41">
        <v>37</v>
      </c>
      <c r="F28" s="14">
        <v>39</v>
      </c>
      <c r="G28" s="41">
        <v>41</v>
      </c>
      <c r="H28" s="14">
        <v>43</v>
      </c>
      <c r="I28" s="41">
        <v>45</v>
      </c>
      <c r="J28" s="14">
        <v>46</v>
      </c>
      <c r="K28" s="41">
        <v>48</v>
      </c>
      <c r="L28" s="14">
        <v>50</v>
      </c>
      <c r="M28" s="41">
        <v>52</v>
      </c>
      <c r="N28" s="14">
        <v>57</v>
      </c>
      <c r="AQ28" s="2"/>
    </row>
    <row r="29" spans="2:43" s="1" customFormat="1" x14ac:dyDescent="0.25">
      <c r="B29" s="92"/>
      <c r="C29" s="91"/>
      <c r="D29" s="78" t="s">
        <v>49</v>
      </c>
      <c r="E29" s="41">
        <v>30</v>
      </c>
      <c r="F29" s="14">
        <v>33</v>
      </c>
      <c r="G29" s="41">
        <v>36</v>
      </c>
      <c r="H29" s="14">
        <v>34</v>
      </c>
      <c r="I29" s="41">
        <v>36</v>
      </c>
      <c r="J29" s="14">
        <v>41</v>
      </c>
      <c r="K29" s="41">
        <v>41</v>
      </c>
      <c r="L29" s="14">
        <v>43</v>
      </c>
      <c r="M29" s="41">
        <v>47</v>
      </c>
      <c r="N29" s="14">
        <v>53</v>
      </c>
      <c r="AQ29" s="2"/>
    </row>
    <row r="30" spans="2:43" s="1" customFormat="1" x14ac:dyDescent="0.25">
      <c r="B30" s="90"/>
      <c r="C30" s="89"/>
      <c r="D30" s="78" t="s">
        <v>48</v>
      </c>
      <c r="E30" s="41">
        <v>26</v>
      </c>
      <c r="F30" s="14">
        <v>29</v>
      </c>
      <c r="G30" s="41">
        <v>32</v>
      </c>
      <c r="H30" s="14">
        <v>30</v>
      </c>
      <c r="I30" s="41">
        <v>32</v>
      </c>
      <c r="J30" s="14">
        <v>34</v>
      </c>
      <c r="K30" s="41">
        <v>35</v>
      </c>
      <c r="L30" s="14">
        <v>37</v>
      </c>
      <c r="M30" s="41">
        <v>43</v>
      </c>
      <c r="N30" s="14">
        <v>48</v>
      </c>
      <c r="AQ30" s="2"/>
    </row>
    <row r="31" spans="2:43" s="1" customFormat="1" x14ac:dyDescent="0.25">
      <c r="B31" s="87" t="s">
        <v>47</v>
      </c>
      <c r="C31" s="78" t="s">
        <v>46</v>
      </c>
      <c r="D31" s="88"/>
      <c r="E31" s="51">
        <v>320</v>
      </c>
      <c r="F31" s="18">
        <v>500</v>
      </c>
      <c r="G31" s="51">
        <v>610</v>
      </c>
      <c r="H31" s="18">
        <v>780</v>
      </c>
      <c r="I31" s="51">
        <v>940</v>
      </c>
      <c r="J31" s="18">
        <v>1200</v>
      </c>
      <c r="K31" s="51">
        <v>1650</v>
      </c>
      <c r="L31" s="18">
        <v>1850</v>
      </c>
      <c r="M31" s="51">
        <v>2150</v>
      </c>
      <c r="N31" s="18">
        <v>2640</v>
      </c>
      <c r="AQ31" s="2"/>
    </row>
    <row r="32" spans="2:43" s="1" customFormat="1" x14ac:dyDescent="0.25">
      <c r="B32" s="87" t="s">
        <v>45</v>
      </c>
      <c r="C32" s="78" t="s">
        <v>43</v>
      </c>
      <c r="D32" s="78"/>
      <c r="E32" s="51">
        <v>30</v>
      </c>
      <c r="F32" s="18">
        <v>30</v>
      </c>
      <c r="G32" s="51">
        <v>30</v>
      </c>
      <c r="H32" s="18">
        <v>30</v>
      </c>
      <c r="I32" s="51">
        <v>40</v>
      </c>
      <c r="J32" s="18">
        <v>40</v>
      </c>
      <c r="K32" s="51">
        <v>40</v>
      </c>
      <c r="L32" s="18">
        <v>40</v>
      </c>
      <c r="M32" s="51">
        <v>50</v>
      </c>
      <c r="N32" s="18">
        <v>50</v>
      </c>
      <c r="AQ32" s="2"/>
    </row>
    <row r="33" spans="2:43" s="27" customFormat="1" x14ac:dyDescent="0.25">
      <c r="B33" s="86" t="s">
        <v>41</v>
      </c>
      <c r="C33" s="78" t="s">
        <v>40</v>
      </c>
      <c r="D33" s="81"/>
      <c r="E33" s="23">
        <v>1.6</v>
      </c>
      <c r="F33" s="23"/>
      <c r="G33" s="23"/>
      <c r="H33" s="23"/>
      <c r="I33" s="23"/>
      <c r="J33" s="23"/>
      <c r="K33" s="23"/>
      <c r="L33" s="23"/>
      <c r="M33" s="23"/>
      <c r="N33" s="23"/>
      <c r="AQ33" s="28"/>
    </row>
    <row r="34" spans="2:43" s="27" customFormat="1" x14ac:dyDescent="0.25">
      <c r="B34" s="85" t="s">
        <v>39</v>
      </c>
      <c r="C34" s="84"/>
      <c r="D34" s="83"/>
      <c r="E34" s="23" t="s">
        <v>38</v>
      </c>
      <c r="F34" s="23"/>
      <c r="G34" s="23"/>
      <c r="H34" s="23"/>
      <c r="I34" s="23"/>
      <c r="J34" s="23"/>
      <c r="K34" s="23"/>
      <c r="L34" s="23"/>
      <c r="M34" s="23"/>
      <c r="N34" s="23"/>
      <c r="AQ34" s="28"/>
    </row>
    <row r="35" spans="2:43" s="27" customFormat="1" x14ac:dyDescent="0.25">
      <c r="B35" s="33" t="s">
        <v>37</v>
      </c>
      <c r="C35" s="33"/>
      <c r="D35" s="33"/>
      <c r="E35" s="24" t="s">
        <v>36</v>
      </c>
      <c r="F35" s="23"/>
      <c r="G35" s="23"/>
      <c r="H35" s="23"/>
      <c r="I35" s="23"/>
      <c r="J35" s="23"/>
      <c r="K35" s="23"/>
      <c r="L35" s="23"/>
      <c r="M35" s="23"/>
      <c r="N35" s="23"/>
      <c r="AQ35" s="28"/>
    </row>
    <row r="36" spans="2:43" s="27" customFormat="1" x14ac:dyDescent="0.25">
      <c r="B36" s="33" t="s">
        <v>35</v>
      </c>
      <c r="C36" s="33"/>
      <c r="D36" s="33"/>
      <c r="E36" s="23" t="s">
        <v>34</v>
      </c>
      <c r="F36" s="23"/>
      <c r="G36" s="23"/>
      <c r="H36" s="23"/>
      <c r="I36" s="23"/>
      <c r="J36" s="23"/>
      <c r="K36" s="23"/>
      <c r="L36" s="23"/>
      <c r="M36" s="23"/>
      <c r="N36" s="23"/>
      <c r="AQ36" s="28"/>
    </row>
    <row r="37" spans="2:43" s="27" customFormat="1" x14ac:dyDescent="0.25">
      <c r="B37" s="33" t="s">
        <v>33</v>
      </c>
      <c r="C37" s="33"/>
      <c r="D37" s="33"/>
      <c r="E37" s="82" t="s">
        <v>66</v>
      </c>
      <c r="F37" s="82"/>
      <c r="G37" s="82"/>
      <c r="H37" s="82"/>
      <c r="I37" s="82"/>
      <c r="J37" s="82"/>
      <c r="K37" s="82"/>
      <c r="L37" s="82"/>
      <c r="M37" s="82"/>
      <c r="N37" s="82"/>
      <c r="AQ37" s="28"/>
    </row>
    <row r="38" spans="2:43" s="27" customFormat="1" x14ac:dyDescent="0.25">
      <c r="B38" s="33" t="s">
        <v>31</v>
      </c>
      <c r="C38" s="33"/>
      <c r="D38" s="33"/>
      <c r="E38" s="23" t="s">
        <v>30</v>
      </c>
      <c r="F38" s="23"/>
      <c r="G38" s="23"/>
      <c r="H38" s="23"/>
      <c r="I38" s="23"/>
      <c r="J38" s="23"/>
      <c r="K38" s="23"/>
      <c r="L38" s="23"/>
      <c r="M38" s="23"/>
      <c r="N38" s="23"/>
      <c r="AQ38" s="28"/>
    </row>
    <row r="39" spans="2:43" s="27" customFormat="1" x14ac:dyDescent="0.25">
      <c r="B39" s="33" t="s">
        <v>29</v>
      </c>
      <c r="C39" s="33"/>
      <c r="D39" s="33"/>
      <c r="E39" s="23" t="s">
        <v>28</v>
      </c>
      <c r="F39" s="23"/>
      <c r="G39" s="23"/>
      <c r="H39" s="23"/>
      <c r="I39" s="23"/>
      <c r="J39" s="23"/>
      <c r="K39" s="23"/>
      <c r="L39" s="23"/>
      <c r="M39" s="23"/>
      <c r="N39" s="23"/>
      <c r="AQ39" s="28"/>
    </row>
    <row r="40" spans="2:43" s="27" customFormat="1" x14ac:dyDescent="0.25">
      <c r="B40" s="80" t="s">
        <v>27</v>
      </c>
      <c r="C40" s="81" t="s">
        <v>9</v>
      </c>
      <c r="D40" s="80"/>
      <c r="E40" s="23" t="s">
        <v>26</v>
      </c>
      <c r="F40" s="23"/>
      <c r="G40" s="23"/>
      <c r="H40" s="23"/>
      <c r="I40" s="23"/>
      <c r="J40" s="23"/>
      <c r="K40" s="23"/>
      <c r="L40" s="23"/>
      <c r="M40" s="23"/>
      <c r="N40" s="23"/>
      <c r="AQ40" s="28"/>
    </row>
    <row r="41" spans="2:43" s="27" customFormat="1" x14ac:dyDescent="0.25">
      <c r="B41" s="29" t="s">
        <v>25</v>
      </c>
      <c r="C41" s="29"/>
      <c r="D41" s="29"/>
      <c r="E41" s="23" t="s">
        <v>24</v>
      </c>
      <c r="F41" s="23"/>
      <c r="G41" s="23"/>
      <c r="H41" s="23"/>
      <c r="I41" s="23"/>
      <c r="J41" s="23"/>
      <c r="K41" s="23"/>
      <c r="L41" s="23"/>
      <c r="M41" s="23"/>
      <c r="N41" s="23"/>
      <c r="AQ41" s="28"/>
    </row>
    <row r="42" spans="2:43" s="1" customFormat="1" x14ac:dyDescent="0.25">
      <c r="B42" s="29" t="s">
        <v>23</v>
      </c>
      <c r="C42" s="78" t="s">
        <v>9</v>
      </c>
      <c r="D42" s="78" t="s">
        <v>2</v>
      </c>
      <c r="E42" s="23" t="s">
        <v>22</v>
      </c>
      <c r="F42" s="23"/>
      <c r="G42" s="23"/>
      <c r="H42" s="23" t="s">
        <v>21</v>
      </c>
      <c r="I42" s="23"/>
      <c r="J42" s="23"/>
      <c r="K42" s="23" t="s">
        <v>20</v>
      </c>
      <c r="L42" s="23"/>
      <c r="M42" s="23"/>
      <c r="N42" s="22" t="s">
        <v>19</v>
      </c>
      <c r="AQ42" s="2"/>
    </row>
    <row r="43" spans="2:43" s="1" customFormat="1" x14ac:dyDescent="0.25">
      <c r="B43" s="29"/>
      <c r="C43" s="78" t="s">
        <v>9</v>
      </c>
      <c r="D43" s="78" t="s">
        <v>0</v>
      </c>
      <c r="E43" s="23" t="s">
        <v>18</v>
      </c>
      <c r="F43" s="23"/>
      <c r="G43" s="23"/>
      <c r="H43" s="23" t="s">
        <v>17</v>
      </c>
      <c r="I43" s="23"/>
      <c r="J43" s="23"/>
      <c r="K43" s="23" t="s">
        <v>16</v>
      </c>
      <c r="L43" s="23"/>
      <c r="M43" s="23"/>
      <c r="N43" s="22" t="s">
        <v>15</v>
      </c>
      <c r="AQ43" s="2"/>
    </row>
    <row r="44" spans="2:43" s="1" customFormat="1" x14ac:dyDescent="0.25">
      <c r="B44" s="29" t="s">
        <v>14</v>
      </c>
      <c r="C44" s="78" t="s">
        <v>9</v>
      </c>
      <c r="D44" s="78" t="s">
        <v>2</v>
      </c>
      <c r="E44" s="23" t="s">
        <v>13</v>
      </c>
      <c r="F44" s="23"/>
      <c r="G44" s="23"/>
      <c r="H44" s="23" t="s">
        <v>12</v>
      </c>
      <c r="I44" s="23"/>
      <c r="J44" s="23"/>
      <c r="K44" s="23" t="s">
        <v>11</v>
      </c>
      <c r="L44" s="23"/>
      <c r="M44" s="23"/>
      <c r="N44" s="22" t="s">
        <v>10</v>
      </c>
      <c r="AQ44" s="2"/>
    </row>
    <row r="45" spans="2:43" s="1" customFormat="1" x14ac:dyDescent="0.25">
      <c r="B45" s="29"/>
      <c r="C45" s="78" t="s">
        <v>9</v>
      </c>
      <c r="D45" s="78" t="s">
        <v>0</v>
      </c>
      <c r="E45" s="23" t="s">
        <v>8</v>
      </c>
      <c r="F45" s="23"/>
      <c r="G45" s="23"/>
      <c r="H45" s="23" t="s">
        <v>7</v>
      </c>
      <c r="I45" s="23"/>
      <c r="J45" s="23"/>
      <c r="K45" s="23" t="s">
        <v>6</v>
      </c>
      <c r="L45" s="23"/>
      <c r="M45" s="23"/>
      <c r="N45" s="22" t="s">
        <v>5</v>
      </c>
      <c r="AQ45" s="2"/>
    </row>
    <row r="46" spans="2:43" s="1" customFormat="1" x14ac:dyDescent="0.25">
      <c r="B46" s="29" t="s">
        <v>4</v>
      </c>
      <c r="C46" s="78" t="s">
        <v>1</v>
      </c>
      <c r="D46" s="78" t="s">
        <v>2</v>
      </c>
      <c r="E46" s="9">
        <v>16.399999999999999</v>
      </c>
      <c r="F46" s="9"/>
      <c r="G46" s="9"/>
      <c r="H46" s="9">
        <v>21.5</v>
      </c>
      <c r="I46" s="9"/>
      <c r="J46" s="9"/>
      <c r="K46" s="9">
        <v>26.7</v>
      </c>
      <c r="L46" s="9"/>
      <c r="M46" s="9"/>
      <c r="N46" s="8">
        <v>37.6</v>
      </c>
      <c r="Q46" s="6"/>
      <c r="AQ46" s="2"/>
    </row>
    <row r="47" spans="2:43" s="1" customFormat="1" x14ac:dyDescent="0.25">
      <c r="B47" s="29"/>
      <c r="C47" s="78" t="s">
        <v>1</v>
      </c>
      <c r="D47" s="78" t="s">
        <v>0</v>
      </c>
      <c r="E47" s="9">
        <v>2.2999999999999998</v>
      </c>
      <c r="F47" s="9"/>
      <c r="G47" s="9"/>
      <c r="H47" s="9">
        <v>3.3</v>
      </c>
      <c r="I47" s="9"/>
      <c r="J47" s="9"/>
      <c r="K47" s="9">
        <v>5.2</v>
      </c>
      <c r="L47" s="9"/>
      <c r="M47" s="9"/>
      <c r="N47" s="8">
        <v>7.8</v>
      </c>
      <c r="AQ47" s="2"/>
    </row>
    <row r="48" spans="2:43" s="1" customFormat="1" x14ac:dyDescent="0.25">
      <c r="B48" s="29" t="s">
        <v>3</v>
      </c>
      <c r="C48" s="78" t="s">
        <v>1</v>
      </c>
      <c r="D48" s="78" t="s">
        <v>2</v>
      </c>
      <c r="E48" s="79">
        <v>19</v>
      </c>
      <c r="F48" s="79"/>
      <c r="G48" s="79"/>
      <c r="H48" s="9">
        <v>24.3</v>
      </c>
      <c r="I48" s="9"/>
      <c r="J48" s="9"/>
      <c r="K48" s="9">
        <v>30.5</v>
      </c>
      <c r="L48" s="9"/>
      <c r="M48" s="9"/>
      <c r="N48" s="8">
        <v>42.2</v>
      </c>
      <c r="AQ48" s="2"/>
    </row>
    <row r="49" spans="2:45" s="1" customFormat="1" x14ac:dyDescent="0.25">
      <c r="B49" s="29"/>
      <c r="C49" s="78" t="s">
        <v>1</v>
      </c>
      <c r="D49" s="78" t="s">
        <v>0</v>
      </c>
      <c r="E49" s="9">
        <v>3.3</v>
      </c>
      <c r="F49" s="9"/>
      <c r="G49" s="9"/>
      <c r="H49" s="9">
        <v>4.9000000000000004</v>
      </c>
      <c r="I49" s="9"/>
      <c r="J49" s="9"/>
      <c r="K49" s="9">
        <v>7.1</v>
      </c>
      <c r="L49" s="9"/>
      <c r="M49" s="9"/>
      <c r="N49" s="8">
        <v>10.5</v>
      </c>
      <c r="AQ49" s="2"/>
    </row>
    <row r="50" spans="2:45" s="1" customFormat="1" x14ac:dyDescent="0.25">
      <c r="B50" s="7"/>
      <c r="C50" s="6"/>
      <c r="E50" s="5"/>
      <c r="F50" s="5"/>
      <c r="G50" s="5"/>
      <c r="H50" s="5"/>
      <c r="I50" s="5"/>
      <c r="J50" s="5"/>
      <c r="K50" s="5"/>
      <c r="L50" s="5"/>
      <c r="M50" s="5"/>
      <c r="N50" s="75"/>
      <c r="AQ50" s="2"/>
    </row>
    <row r="51" spans="2:45" s="1" customFormat="1" x14ac:dyDescent="0.25">
      <c r="B51" s="7"/>
      <c r="C51" s="6"/>
      <c r="D51" s="6"/>
      <c r="E51" s="5"/>
      <c r="F51" s="5"/>
      <c r="G51" s="5"/>
      <c r="H51" s="5"/>
      <c r="I51" s="5"/>
      <c r="J51" s="5"/>
      <c r="K51" s="5"/>
      <c r="L51" s="5"/>
      <c r="M51" s="5"/>
      <c r="N51" s="75"/>
      <c r="AQ51" s="2"/>
    </row>
    <row r="52" spans="2:45" s="1" customFormat="1" ht="18" thickBot="1" x14ac:dyDescent="0.3">
      <c r="B52" s="7"/>
      <c r="C52" s="6"/>
      <c r="D52" s="6"/>
      <c r="E52" s="5"/>
      <c r="F52" s="5"/>
      <c r="G52" s="5"/>
      <c r="H52" s="5"/>
      <c r="I52" s="5"/>
      <c r="J52" s="5"/>
      <c r="K52" s="5"/>
      <c r="L52" s="5"/>
      <c r="M52" s="5"/>
      <c r="N52" s="75"/>
      <c r="AQ52" s="2"/>
    </row>
    <row r="53" spans="2:45" s="1" customFormat="1" ht="18" thickBot="1" x14ac:dyDescent="0.3">
      <c r="B53" s="7"/>
      <c r="C53" s="6"/>
      <c r="D53" s="6"/>
      <c r="E53" s="3"/>
      <c r="F53" s="3"/>
      <c r="G53" s="3"/>
      <c r="H53" s="77" t="s">
        <v>65</v>
      </c>
      <c r="I53" s="76"/>
      <c r="J53" s="3"/>
      <c r="K53" s="3"/>
      <c r="L53" s="3"/>
      <c r="M53" s="5"/>
      <c r="N53" s="75"/>
      <c r="AQ53" s="2"/>
    </row>
    <row r="54" spans="2:45" s="1" customFormat="1" x14ac:dyDescent="0.25">
      <c r="B54" s="7"/>
      <c r="C54" s="6"/>
      <c r="D54" s="6"/>
      <c r="E54" s="5"/>
      <c r="F54" s="5"/>
      <c r="G54" s="5"/>
      <c r="H54" s="5"/>
      <c r="I54" s="5"/>
      <c r="J54" s="5"/>
      <c r="K54" s="5"/>
      <c r="L54" s="5"/>
      <c r="M54" s="5"/>
      <c r="N54" s="5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2"/>
      <c r="AS54" s="2"/>
    </row>
    <row r="55" spans="2:45" s="2" customFormat="1" ht="18" thickBot="1" x14ac:dyDescent="0.3">
      <c r="B55" s="74" t="s">
        <v>64</v>
      </c>
      <c r="C55" s="74"/>
      <c r="D55" s="74"/>
      <c r="E55" s="74"/>
      <c r="F55" s="74"/>
      <c r="G55" s="73" t="str">
        <f>"CF4"&amp;"-"&amp;G56/10&amp;"-AC"</f>
        <v>CF4-68-AC</v>
      </c>
      <c r="H55" s="73" t="str">
        <f>"CF4"&amp;"-"&amp;H56/10&amp;"-AC"</f>
        <v>CF4-85-AC</v>
      </c>
      <c r="I55" s="73" t="str">
        <f>"CF4"&amp;"-"&amp;I56/10&amp;"-AC"</f>
        <v>CF4-102-AC</v>
      </c>
      <c r="J55" s="73" t="str">
        <f>"CF4"&amp;"-"&amp;J56/10&amp;"-AC"</f>
        <v>CF4-136-AC</v>
      </c>
      <c r="K55" s="73" t="str">
        <f>"CF4"&amp;"-"&amp;K56/10&amp;"-AC"</f>
        <v>CF4-170-AC</v>
      </c>
      <c r="L55" s="73" t="str">
        <f>"CF4"&amp;"-"&amp;L56/10&amp;"-AC"</f>
        <v>CF4-204-AC</v>
      </c>
      <c r="M55" s="73" t="str">
        <f>"CF4"&amp;"-"&amp;M56/10&amp;"-AC"</f>
        <v>CF4-238-AC</v>
      </c>
      <c r="N55" s="73" t="str">
        <f>"CF4"&amp;"-"&amp;N56/10&amp;"-AC"</f>
        <v>CF4-289-AC</v>
      </c>
    </row>
    <row r="56" spans="2:45" s="1" customFormat="1" ht="17.399999999999999" customHeight="1" x14ac:dyDescent="0.25">
      <c r="B56" s="72" t="s">
        <v>63</v>
      </c>
      <c r="C56" s="71"/>
      <c r="D56" s="71"/>
      <c r="E56" s="70" t="s">
        <v>62</v>
      </c>
      <c r="F56" s="69" t="s">
        <v>50</v>
      </c>
      <c r="G56" s="67">
        <v>680</v>
      </c>
      <c r="H56" s="68">
        <v>850</v>
      </c>
      <c r="I56" s="67">
        <v>1020</v>
      </c>
      <c r="J56" s="68">
        <v>1360</v>
      </c>
      <c r="K56" s="67">
        <v>1700</v>
      </c>
      <c r="L56" s="68">
        <v>2040</v>
      </c>
      <c r="M56" s="67">
        <v>2380</v>
      </c>
      <c r="N56" s="66">
        <v>2890</v>
      </c>
      <c r="AQ56" s="2"/>
    </row>
    <row r="57" spans="2:45" s="1" customFormat="1" x14ac:dyDescent="0.25">
      <c r="B57" s="65"/>
      <c r="C57" s="29"/>
      <c r="D57" s="29"/>
      <c r="E57" s="23"/>
      <c r="F57" s="14" t="s">
        <v>49</v>
      </c>
      <c r="G57" s="39">
        <v>510</v>
      </c>
      <c r="H57" s="38">
        <v>510</v>
      </c>
      <c r="I57" s="39">
        <v>510</v>
      </c>
      <c r="J57" s="38">
        <v>510</v>
      </c>
      <c r="K57" s="39">
        <v>510</v>
      </c>
      <c r="L57" s="38">
        <v>510</v>
      </c>
      <c r="M57" s="39">
        <v>510</v>
      </c>
      <c r="N57" s="64">
        <v>2100</v>
      </c>
      <c r="AQ57" s="2"/>
    </row>
    <row r="58" spans="2:45" s="1" customFormat="1" ht="18" thickBot="1" x14ac:dyDescent="0.3">
      <c r="B58" s="63"/>
      <c r="C58" s="62"/>
      <c r="D58" s="62"/>
      <c r="E58" s="61"/>
      <c r="F58" s="60" t="s">
        <v>48</v>
      </c>
      <c r="G58" s="58">
        <v>340</v>
      </c>
      <c r="H58" s="59">
        <v>425</v>
      </c>
      <c r="I58" s="58">
        <v>510</v>
      </c>
      <c r="J58" s="59">
        <v>680</v>
      </c>
      <c r="K58" s="58">
        <v>850</v>
      </c>
      <c r="L58" s="59">
        <v>1020</v>
      </c>
      <c r="M58" s="58">
        <v>1190</v>
      </c>
      <c r="N58" s="57">
        <v>1600</v>
      </c>
      <c r="AQ58" s="2"/>
    </row>
    <row r="59" spans="2:45" s="1" customFormat="1" ht="17.399999999999999" customHeight="1" x14ac:dyDescent="0.25">
      <c r="B59" s="72" t="s">
        <v>61</v>
      </c>
      <c r="C59" s="71"/>
      <c r="D59" s="71"/>
      <c r="E59" s="70" t="s">
        <v>55</v>
      </c>
      <c r="F59" s="69" t="s">
        <v>50</v>
      </c>
      <c r="G59" s="67">
        <f>IF($AT$3&lt;0,252*$AT$4-1810,"")</f>
        <v>836</v>
      </c>
      <c r="H59" s="68">
        <f>IF($AT$3&lt;0,280*$AT$4-1800,"")</f>
        <v>1140</v>
      </c>
      <c r="I59" s="67">
        <f>IF($AT$3&lt;0,324*$AT$4-2070,"")</f>
        <v>1332</v>
      </c>
      <c r="J59" s="68">
        <f>IF($AT$3&lt;0,426*$AT$4-2655,"")</f>
        <v>1818</v>
      </c>
      <c r="K59" s="67">
        <f>IF($AT$3&lt;0,544*$AT$4-3520,"")</f>
        <v>2192</v>
      </c>
      <c r="L59" s="68">
        <f>IF($AT$3&lt;0,652*$AT$4-4410,"")</f>
        <v>2436</v>
      </c>
      <c r="M59" s="67">
        <f>IF($AT$3&lt;0,826*$AT$4-6055,"")</f>
        <v>2618</v>
      </c>
      <c r="N59" s="66">
        <f>IF($AT$3&lt;0,954*$AT$4-6395,"")</f>
        <v>3622</v>
      </c>
      <c r="AQ59" s="2"/>
    </row>
    <row r="60" spans="2:45" s="1" customFormat="1" x14ac:dyDescent="0.25">
      <c r="B60" s="65"/>
      <c r="C60" s="29"/>
      <c r="D60" s="29"/>
      <c r="E60" s="23"/>
      <c r="F60" s="14" t="s">
        <v>49</v>
      </c>
      <c r="G60" s="39">
        <f>IFERROR(ROUND(G59*0.78,0),"")</f>
        <v>652</v>
      </c>
      <c r="H60" s="38">
        <f>IFERROR(ROUND(H59*0.78,0),"")</f>
        <v>889</v>
      </c>
      <c r="I60" s="39">
        <f>IFERROR(ROUND(I59*0.78,0),"")</f>
        <v>1039</v>
      </c>
      <c r="J60" s="38">
        <f>IFERROR(ROUND(J59*0.78,0),"")</f>
        <v>1418</v>
      </c>
      <c r="K60" s="39">
        <f>IFERROR(ROUND(K59*0.78,0),"")</f>
        <v>1710</v>
      </c>
      <c r="L60" s="38">
        <f>IFERROR(ROUND(L59*0.78,0),"")</f>
        <v>1900</v>
      </c>
      <c r="M60" s="39">
        <f>IFERROR(ROUND(M59*0.78,0),"")</f>
        <v>2042</v>
      </c>
      <c r="N60" s="64">
        <f>IFERROR(ROUND(N59*0.78,0),"")</f>
        <v>2825</v>
      </c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2"/>
    </row>
    <row r="61" spans="2:45" s="1" customFormat="1" ht="18" thickBot="1" x14ac:dyDescent="0.3">
      <c r="B61" s="63"/>
      <c r="C61" s="62"/>
      <c r="D61" s="62"/>
      <c r="E61" s="61"/>
      <c r="F61" s="60" t="s">
        <v>48</v>
      </c>
      <c r="G61" s="58">
        <f>IFERROR(ROUND(G59*0.59,0),"")</f>
        <v>493</v>
      </c>
      <c r="H61" s="59">
        <f>IFERROR(ROUND(H59*0.59,0),"")</f>
        <v>673</v>
      </c>
      <c r="I61" s="58">
        <f>IFERROR(ROUND(I59*0.59,0),"")</f>
        <v>786</v>
      </c>
      <c r="J61" s="59">
        <f>IFERROR(ROUND(J59*0.59,0),"")</f>
        <v>1073</v>
      </c>
      <c r="K61" s="58">
        <f>IFERROR(ROUND(K59*0.59,0),"")</f>
        <v>1293</v>
      </c>
      <c r="L61" s="59">
        <f>IFERROR(ROUND(L59*0.59,0),"")</f>
        <v>1437</v>
      </c>
      <c r="M61" s="58">
        <f>IFERROR(ROUND(M59*0.59,0),"")</f>
        <v>1545</v>
      </c>
      <c r="N61" s="57">
        <f>IFERROR(ROUND(N59*0.59,0),"")</f>
        <v>2137</v>
      </c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2"/>
    </row>
    <row r="62" spans="2:45" s="1" customFormat="1" ht="17.399999999999999" customHeight="1" x14ac:dyDescent="0.25">
      <c r="B62" s="72" t="s">
        <v>60</v>
      </c>
      <c r="C62" s="71"/>
      <c r="D62" s="71"/>
      <c r="E62" s="70" t="s">
        <v>55</v>
      </c>
      <c r="F62" s="69" t="s">
        <v>50</v>
      </c>
      <c r="G62" s="67">
        <f>IF($AT$3&lt;0,122*$AT$4-185,"")</f>
        <v>1096</v>
      </c>
      <c r="H62" s="68">
        <f>IF($AT$3&lt;0,126*$AT$4+125,"")</f>
        <v>1448</v>
      </c>
      <c r="I62" s="67">
        <f>IF($AT$3&lt;0,144*$AT$4+180,"")</f>
        <v>1692</v>
      </c>
      <c r="J62" s="68">
        <f>IF($AT$3&lt;0,186*$AT$4+345,"")</f>
        <v>2298</v>
      </c>
      <c r="K62" s="67">
        <f>IF($AT$3&lt;0,244*$AT$4+230,"")</f>
        <v>2792</v>
      </c>
      <c r="L62" s="68">
        <f>IF($AT$3&lt;0,302*$AT$4-35,"")</f>
        <v>3136</v>
      </c>
      <c r="M62" s="67">
        <f>IF($AT$3&lt;0,406*$AT$4-805,"")</f>
        <v>3458</v>
      </c>
      <c r="N62" s="66">
        <f>IF($AT$3&lt;0,440*$AT$4+30,"")</f>
        <v>4650</v>
      </c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2"/>
    </row>
    <row r="63" spans="2:45" s="1" customFormat="1" x14ac:dyDescent="0.25">
      <c r="B63" s="65"/>
      <c r="C63" s="29"/>
      <c r="D63" s="29"/>
      <c r="E63" s="23"/>
      <c r="F63" s="14" t="s">
        <v>49</v>
      </c>
      <c r="G63" s="39">
        <f>IFERROR(ROUND(G62*0.8,0),"")</f>
        <v>877</v>
      </c>
      <c r="H63" s="38">
        <f>IFERROR(ROUND(H62*0.8,0),"")</f>
        <v>1158</v>
      </c>
      <c r="I63" s="39">
        <f>IFERROR(ROUND(I62*0.8,0),"")</f>
        <v>1354</v>
      </c>
      <c r="J63" s="38">
        <f>IFERROR(ROUND(J62*0.8,0),"")</f>
        <v>1838</v>
      </c>
      <c r="K63" s="39">
        <f>IFERROR(ROUND(K62*0.8,0),"")</f>
        <v>2234</v>
      </c>
      <c r="L63" s="38">
        <f>IFERROR(ROUND(L62*0.8,0),"")</f>
        <v>2509</v>
      </c>
      <c r="M63" s="39">
        <f>IFERROR(ROUND(M62*0.8,0),"")</f>
        <v>2766</v>
      </c>
      <c r="N63" s="64">
        <f>IFERROR(ROUND(N62*0.8,0),"")</f>
        <v>3720</v>
      </c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2"/>
    </row>
    <row r="64" spans="2:45" s="1" customFormat="1" ht="18" thickBot="1" x14ac:dyDescent="0.3">
      <c r="B64" s="63"/>
      <c r="C64" s="62"/>
      <c r="D64" s="62"/>
      <c r="E64" s="61"/>
      <c r="F64" s="60" t="s">
        <v>48</v>
      </c>
      <c r="G64" s="58">
        <f>IFERROR(ROUND(G62*0.6,0),"")</f>
        <v>658</v>
      </c>
      <c r="H64" s="59">
        <f>IFERROR(ROUND(H62*0.6,0),"")</f>
        <v>869</v>
      </c>
      <c r="I64" s="58">
        <f>IFERROR(ROUND(I62*0.6,0),"")</f>
        <v>1015</v>
      </c>
      <c r="J64" s="59">
        <f>IFERROR(ROUND(J62*0.6,0),"")</f>
        <v>1379</v>
      </c>
      <c r="K64" s="58">
        <f>IFERROR(ROUND(K62*0.6,0),"")</f>
        <v>1675</v>
      </c>
      <c r="L64" s="59">
        <f>IFERROR(ROUND(L62*0.6,0),"")</f>
        <v>1882</v>
      </c>
      <c r="M64" s="58">
        <f>IFERROR(ROUND(M62*0.6,0),"")</f>
        <v>2075</v>
      </c>
      <c r="N64" s="57">
        <f>IFERROR(ROUND(N62*0.6,0),"")</f>
        <v>2790</v>
      </c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2"/>
    </row>
    <row r="65" spans="2:43" s="1" customFormat="1" ht="17.399999999999999" customHeight="1" x14ac:dyDescent="0.25">
      <c r="B65" s="72" t="s">
        <v>59</v>
      </c>
      <c r="C65" s="71"/>
      <c r="D65" s="71"/>
      <c r="E65" s="70" t="s">
        <v>55</v>
      </c>
      <c r="F65" s="69" t="s">
        <v>50</v>
      </c>
      <c r="G65" s="67" t="str">
        <f>IF($AT$3&gt;0,103.5*$AT$4-490,"")</f>
        <v/>
      </c>
      <c r="H65" s="68" t="str">
        <f>IF($AT$3&gt;0,133*$AT$4-620,"")</f>
        <v/>
      </c>
      <c r="I65" s="67" t="str">
        <f>IF($AT$3&gt;0,165.5*$AT$4-740,"")</f>
        <v/>
      </c>
      <c r="J65" s="68" t="str">
        <f>IF($AT$3&gt;0,188*$AT$4-1050,"")</f>
        <v/>
      </c>
      <c r="K65" s="67" t="str">
        <f>IF($AT$3&gt;0,248.5*$AT$4-1180,"")</f>
        <v/>
      </c>
      <c r="L65" s="68" t="str">
        <f>IF($AT$3&gt;0,281*$AT$4-1290,"")</f>
        <v/>
      </c>
      <c r="M65" s="67" t="str">
        <f>IF($AT$3&gt;0,327*$AT$4-1420,"")</f>
        <v/>
      </c>
      <c r="N65" s="66" t="str">
        <f>IF($AT$3&gt;0,467*$AT$4-2150,"")</f>
        <v/>
      </c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2"/>
    </row>
    <row r="66" spans="2:43" s="1" customFormat="1" x14ac:dyDescent="0.25">
      <c r="B66" s="65"/>
      <c r="C66" s="29"/>
      <c r="D66" s="29"/>
      <c r="E66" s="23"/>
      <c r="F66" s="14" t="s">
        <v>49</v>
      </c>
      <c r="G66" s="39" t="str">
        <f>IFERROR(ROUND(G65*0.8,0),"")</f>
        <v/>
      </c>
      <c r="H66" s="38" t="str">
        <f>IFERROR(ROUND(H65*0.8,0),"")</f>
        <v/>
      </c>
      <c r="I66" s="39" t="str">
        <f>IFERROR(ROUND(I65*0.8,0),"")</f>
        <v/>
      </c>
      <c r="J66" s="38" t="str">
        <f>IFERROR(ROUND(J65*0.8,0),"")</f>
        <v/>
      </c>
      <c r="K66" s="39" t="str">
        <f>IFERROR(ROUND(K65*0.8,0),"")</f>
        <v/>
      </c>
      <c r="L66" s="38" t="str">
        <f>IFERROR(ROUND(L65*0.8,0),"")</f>
        <v/>
      </c>
      <c r="M66" s="39" t="str">
        <f>IFERROR(ROUND(M65*0.8,0),"")</f>
        <v/>
      </c>
      <c r="N66" s="64" t="str">
        <f>IFERROR(ROUND(N65*0.8,0),"")</f>
        <v/>
      </c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2"/>
    </row>
    <row r="67" spans="2:43" s="1" customFormat="1" ht="18" thickBot="1" x14ac:dyDescent="0.3">
      <c r="B67" s="63"/>
      <c r="C67" s="62"/>
      <c r="D67" s="62"/>
      <c r="E67" s="61"/>
      <c r="F67" s="60" t="s">
        <v>48</v>
      </c>
      <c r="G67" s="58" t="str">
        <f>IFERROR(ROUND(G65*0.61,0),"")</f>
        <v/>
      </c>
      <c r="H67" s="59" t="str">
        <f>IFERROR(ROUND(H65*0.61,0),"")</f>
        <v/>
      </c>
      <c r="I67" s="58" t="str">
        <f>IFERROR(ROUND(I65*0.61,0),"")</f>
        <v/>
      </c>
      <c r="J67" s="59" t="str">
        <f>IFERROR(ROUND(J65*0.61,0),"")</f>
        <v/>
      </c>
      <c r="K67" s="58" t="str">
        <f>IFERROR(ROUND(K65*0.61,0),"")</f>
        <v/>
      </c>
      <c r="L67" s="59" t="str">
        <f>IFERROR(ROUND(L65*0.61,0),"")</f>
        <v/>
      </c>
      <c r="M67" s="58" t="str">
        <f>IFERROR(ROUND(M65*0.61,0),"")</f>
        <v/>
      </c>
      <c r="N67" s="57" t="str">
        <f>IFERROR(ROUND(N65*0.61,0),"")</f>
        <v/>
      </c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2"/>
    </row>
    <row r="68" spans="2:43" s="27" customFormat="1" ht="17.399999999999999" customHeight="1" x14ac:dyDescent="0.25">
      <c r="B68" s="55" t="s">
        <v>58</v>
      </c>
      <c r="C68" s="55"/>
      <c r="D68" s="55"/>
      <c r="E68" s="55"/>
      <c r="F68" s="55"/>
      <c r="G68" s="54" t="s">
        <v>57</v>
      </c>
      <c r="H68" s="53"/>
      <c r="I68" s="53"/>
      <c r="J68" s="53"/>
      <c r="K68" s="53"/>
      <c r="L68" s="53"/>
      <c r="M68" s="53"/>
      <c r="N68" s="52"/>
      <c r="AQ68" s="28"/>
    </row>
    <row r="69" spans="2:43" s="27" customFormat="1" x14ac:dyDescent="0.25">
      <c r="B69" s="50" t="s">
        <v>56</v>
      </c>
      <c r="C69" s="49"/>
      <c r="D69" s="48"/>
      <c r="E69" s="14" t="s">
        <v>55</v>
      </c>
      <c r="F69" s="14"/>
      <c r="G69" s="51">
        <v>60</v>
      </c>
      <c r="H69" s="18">
        <v>74</v>
      </c>
      <c r="I69" s="51">
        <v>93</v>
      </c>
      <c r="J69" s="18">
        <v>130</v>
      </c>
      <c r="K69" s="51">
        <v>147</v>
      </c>
      <c r="L69" s="18">
        <v>183</v>
      </c>
      <c r="M69" s="51">
        <v>221</v>
      </c>
      <c r="N69" s="18">
        <v>330</v>
      </c>
      <c r="AQ69" s="28"/>
    </row>
    <row r="70" spans="2:43" s="27" customFormat="1" x14ac:dyDescent="0.25">
      <c r="B70" s="50" t="s">
        <v>54</v>
      </c>
      <c r="C70" s="49"/>
      <c r="D70" s="48"/>
      <c r="E70" s="14" t="s">
        <v>53</v>
      </c>
      <c r="F70" s="47"/>
      <c r="G70" s="46">
        <f>G69/230</f>
        <v>0.2608695652173913</v>
      </c>
      <c r="H70" s="45">
        <f>H69/230</f>
        <v>0.32173913043478258</v>
      </c>
      <c r="I70" s="46">
        <f>I69/230</f>
        <v>0.40434782608695652</v>
      </c>
      <c r="J70" s="45">
        <f>J69/230</f>
        <v>0.56521739130434778</v>
      </c>
      <c r="K70" s="46">
        <f>K69/230</f>
        <v>0.63913043478260867</v>
      </c>
      <c r="L70" s="45">
        <f>L69/230</f>
        <v>0.79565217391304344</v>
      </c>
      <c r="M70" s="46">
        <f>M69/230</f>
        <v>0.96086956521739131</v>
      </c>
      <c r="N70" s="45">
        <f>N69/230</f>
        <v>1.4347826086956521</v>
      </c>
      <c r="AQ70" s="28"/>
    </row>
    <row r="71" spans="2:43" s="1" customFormat="1" ht="17.399999999999999" customHeight="1" x14ac:dyDescent="0.25">
      <c r="B71" s="21" t="s">
        <v>52</v>
      </c>
      <c r="C71" s="20"/>
      <c r="D71" s="19"/>
      <c r="E71" s="23" t="s">
        <v>51</v>
      </c>
      <c r="F71" s="14" t="s">
        <v>50</v>
      </c>
      <c r="G71" s="41">
        <v>41</v>
      </c>
      <c r="H71" s="14">
        <v>43</v>
      </c>
      <c r="I71" s="41">
        <v>45</v>
      </c>
      <c r="J71" s="14">
        <v>46</v>
      </c>
      <c r="K71" s="41">
        <v>48</v>
      </c>
      <c r="L71" s="14">
        <v>50</v>
      </c>
      <c r="M71" s="41">
        <v>52</v>
      </c>
      <c r="N71" s="14">
        <v>57</v>
      </c>
      <c r="AQ71" s="2"/>
    </row>
    <row r="72" spans="2:43" s="1" customFormat="1" x14ac:dyDescent="0.25">
      <c r="B72" s="44"/>
      <c r="C72" s="43"/>
      <c r="D72" s="42"/>
      <c r="E72" s="23"/>
      <c r="F72" s="14" t="s">
        <v>49</v>
      </c>
      <c r="G72" s="41">
        <v>36</v>
      </c>
      <c r="H72" s="14">
        <v>34</v>
      </c>
      <c r="I72" s="41">
        <v>36</v>
      </c>
      <c r="J72" s="14">
        <v>41</v>
      </c>
      <c r="K72" s="41">
        <v>41</v>
      </c>
      <c r="L72" s="14">
        <v>43</v>
      </c>
      <c r="M72" s="41">
        <v>47</v>
      </c>
      <c r="N72" s="14">
        <v>53</v>
      </c>
      <c r="AQ72" s="2"/>
    </row>
    <row r="73" spans="2:43" s="1" customFormat="1" x14ac:dyDescent="0.25">
      <c r="B73" s="17"/>
      <c r="C73" s="16"/>
      <c r="D73" s="15"/>
      <c r="E73" s="23"/>
      <c r="F73" s="14" t="s">
        <v>48</v>
      </c>
      <c r="G73" s="41">
        <v>32</v>
      </c>
      <c r="H73" s="14">
        <v>30</v>
      </c>
      <c r="I73" s="41">
        <v>32</v>
      </c>
      <c r="J73" s="14">
        <v>34</v>
      </c>
      <c r="K73" s="41">
        <v>35</v>
      </c>
      <c r="L73" s="14">
        <v>37</v>
      </c>
      <c r="M73" s="41">
        <v>43</v>
      </c>
      <c r="N73" s="14">
        <v>48</v>
      </c>
      <c r="AQ73" s="2"/>
    </row>
    <row r="74" spans="2:43" s="1" customFormat="1" ht="17.399999999999999" customHeight="1" x14ac:dyDescent="0.25">
      <c r="B74" s="21" t="s">
        <v>47</v>
      </c>
      <c r="C74" s="20"/>
      <c r="D74" s="19"/>
      <c r="E74" s="40" t="s">
        <v>46</v>
      </c>
      <c r="F74" s="40" t="s">
        <v>44</v>
      </c>
      <c r="G74" s="39">
        <v>450</v>
      </c>
      <c r="H74" s="38">
        <v>540</v>
      </c>
      <c r="I74" s="39">
        <v>625</v>
      </c>
      <c r="J74" s="38">
        <v>830</v>
      </c>
      <c r="K74" s="39">
        <v>1050</v>
      </c>
      <c r="L74" s="38">
        <v>1400</v>
      </c>
      <c r="M74" s="39">
        <v>1500</v>
      </c>
      <c r="N74" s="38">
        <v>1800</v>
      </c>
      <c r="AQ74" s="2"/>
    </row>
    <row r="75" spans="2:43" s="1" customFormat="1" x14ac:dyDescent="0.25">
      <c r="B75" s="17"/>
      <c r="C75" s="16"/>
      <c r="D75" s="15"/>
      <c r="E75" s="14" t="s">
        <v>46</v>
      </c>
      <c r="F75" s="14" t="s">
        <v>42</v>
      </c>
      <c r="G75" s="39">
        <v>260</v>
      </c>
      <c r="H75" s="38">
        <v>355</v>
      </c>
      <c r="I75" s="39">
        <v>440</v>
      </c>
      <c r="J75" s="38">
        <v>550</v>
      </c>
      <c r="K75" s="39">
        <v>700</v>
      </c>
      <c r="L75" s="38">
        <v>725</v>
      </c>
      <c r="M75" s="39">
        <v>980</v>
      </c>
      <c r="N75" s="38">
        <v>1185</v>
      </c>
      <c r="AQ75" s="2"/>
    </row>
    <row r="76" spans="2:43" s="1" customFormat="1" ht="17.399999999999999" customHeight="1" x14ac:dyDescent="0.25">
      <c r="B76" s="21" t="s">
        <v>45</v>
      </c>
      <c r="C76" s="20"/>
      <c r="D76" s="19"/>
      <c r="E76" s="14" t="s">
        <v>43</v>
      </c>
      <c r="F76" s="14" t="s">
        <v>44</v>
      </c>
      <c r="G76" s="39">
        <v>11</v>
      </c>
      <c r="H76" s="38">
        <v>17</v>
      </c>
      <c r="I76" s="39">
        <v>22</v>
      </c>
      <c r="J76" s="38">
        <v>24</v>
      </c>
      <c r="K76" s="39">
        <v>27</v>
      </c>
      <c r="L76" s="38">
        <v>30</v>
      </c>
      <c r="M76" s="39">
        <v>35</v>
      </c>
      <c r="N76" s="38">
        <v>40</v>
      </c>
      <c r="AQ76" s="2"/>
    </row>
    <row r="77" spans="2:43" s="1" customFormat="1" x14ac:dyDescent="0.25">
      <c r="B77" s="17"/>
      <c r="C77" s="16"/>
      <c r="D77" s="15"/>
      <c r="E77" s="14" t="s">
        <v>43</v>
      </c>
      <c r="F77" s="14" t="s">
        <v>42</v>
      </c>
      <c r="G77" s="39">
        <v>1</v>
      </c>
      <c r="H77" s="38">
        <v>1.5</v>
      </c>
      <c r="I77" s="39">
        <v>2</v>
      </c>
      <c r="J77" s="38">
        <v>3</v>
      </c>
      <c r="K77" s="39">
        <v>6</v>
      </c>
      <c r="L77" s="38">
        <v>8</v>
      </c>
      <c r="M77" s="39">
        <v>9</v>
      </c>
      <c r="N77" s="38">
        <v>10</v>
      </c>
      <c r="AQ77" s="2"/>
    </row>
    <row r="78" spans="2:43" s="27" customFormat="1" x14ac:dyDescent="0.25">
      <c r="B78" s="37" t="s">
        <v>41</v>
      </c>
      <c r="C78" s="37"/>
      <c r="D78" s="37"/>
      <c r="E78" s="14" t="s">
        <v>40</v>
      </c>
      <c r="F78" s="31"/>
      <c r="G78" s="26">
        <v>1.6</v>
      </c>
      <c r="H78" s="25"/>
      <c r="I78" s="25"/>
      <c r="J78" s="25"/>
      <c r="K78" s="25"/>
      <c r="L78" s="25"/>
      <c r="M78" s="25"/>
      <c r="N78" s="24"/>
      <c r="AQ78" s="28"/>
    </row>
    <row r="79" spans="2:43" s="27" customFormat="1" ht="17.399999999999999" customHeight="1" x14ac:dyDescent="0.25">
      <c r="B79" s="29" t="s">
        <v>39</v>
      </c>
      <c r="C79" s="29"/>
      <c r="D79" s="29"/>
      <c r="E79" s="29"/>
      <c r="F79" s="29"/>
      <c r="G79" s="26" t="s">
        <v>38</v>
      </c>
      <c r="H79" s="25"/>
      <c r="I79" s="25"/>
      <c r="J79" s="25"/>
      <c r="K79" s="25"/>
      <c r="L79" s="25"/>
      <c r="M79" s="25"/>
      <c r="N79" s="24"/>
      <c r="AQ79" s="28"/>
    </row>
    <row r="80" spans="2:43" s="27" customFormat="1" x14ac:dyDescent="0.25">
      <c r="B80" s="33" t="s">
        <v>37</v>
      </c>
      <c r="C80" s="33"/>
      <c r="D80" s="33"/>
      <c r="E80" s="33"/>
      <c r="F80" s="33"/>
      <c r="G80" s="26" t="s">
        <v>36</v>
      </c>
      <c r="H80" s="25"/>
      <c r="I80" s="25"/>
      <c r="J80" s="25"/>
      <c r="K80" s="25"/>
      <c r="L80" s="25"/>
      <c r="M80" s="25"/>
      <c r="N80" s="24"/>
      <c r="AQ80" s="28"/>
    </row>
    <row r="81" spans="2:45" s="27" customFormat="1" x14ac:dyDescent="0.25">
      <c r="B81" s="33" t="s">
        <v>35</v>
      </c>
      <c r="C81" s="33"/>
      <c r="D81" s="33"/>
      <c r="E81" s="33"/>
      <c r="F81" s="33"/>
      <c r="G81" s="26" t="s">
        <v>34</v>
      </c>
      <c r="H81" s="25"/>
      <c r="I81" s="25"/>
      <c r="J81" s="25"/>
      <c r="K81" s="25"/>
      <c r="L81" s="25"/>
      <c r="M81" s="25"/>
      <c r="N81" s="24"/>
      <c r="AQ81" s="28"/>
    </row>
    <row r="82" spans="2:45" s="27" customFormat="1" x14ac:dyDescent="0.25">
      <c r="B82" s="33" t="s">
        <v>33</v>
      </c>
      <c r="C82" s="33"/>
      <c r="D82" s="33"/>
      <c r="E82" s="33"/>
      <c r="F82" s="33"/>
      <c r="G82" s="36" t="s">
        <v>32</v>
      </c>
      <c r="H82" s="35"/>
      <c r="I82" s="35"/>
      <c r="J82" s="35"/>
      <c r="K82" s="35"/>
      <c r="L82" s="35"/>
      <c r="M82" s="35"/>
      <c r="N82" s="34"/>
      <c r="AQ82" s="28"/>
    </row>
    <row r="83" spans="2:45" s="27" customFormat="1" x14ac:dyDescent="0.25">
      <c r="B83" s="33" t="s">
        <v>31</v>
      </c>
      <c r="C83" s="33"/>
      <c r="D83" s="33"/>
      <c r="E83" s="33"/>
      <c r="F83" s="33"/>
      <c r="G83" s="26" t="s">
        <v>30</v>
      </c>
      <c r="H83" s="25"/>
      <c r="I83" s="25"/>
      <c r="J83" s="25"/>
      <c r="K83" s="25"/>
      <c r="L83" s="25"/>
      <c r="M83" s="25"/>
      <c r="N83" s="24"/>
      <c r="AQ83" s="28"/>
    </row>
    <row r="84" spans="2:45" s="27" customFormat="1" x14ac:dyDescent="0.25">
      <c r="B84" s="33" t="s">
        <v>29</v>
      </c>
      <c r="C84" s="33"/>
      <c r="D84" s="33"/>
      <c r="E84" s="33"/>
      <c r="F84" s="33"/>
      <c r="G84" s="26" t="s">
        <v>28</v>
      </c>
      <c r="H84" s="25"/>
      <c r="I84" s="25"/>
      <c r="J84" s="25"/>
      <c r="K84" s="25"/>
      <c r="L84" s="25"/>
      <c r="M84" s="25"/>
      <c r="N84" s="24"/>
      <c r="AQ84" s="28"/>
    </row>
    <row r="85" spans="2:45" s="27" customFormat="1" x14ac:dyDescent="0.25">
      <c r="B85" s="32" t="s">
        <v>27</v>
      </c>
      <c r="C85" s="32"/>
      <c r="D85" s="32"/>
      <c r="E85" s="31" t="s">
        <v>9</v>
      </c>
      <c r="F85" s="30"/>
      <c r="G85" s="26" t="s">
        <v>26</v>
      </c>
      <c r="H85" s="25"/>
      <c r="I85" s="25"/>
      <c r="J85" s="25"/>
      <c r="K85" s="25"/>
      <c r="L85" s="25"/>
      <c r="M85" s="25"/>
      <c r="N85" s="24"/>
      <c r="AQ85" s="28"/>
    </row>
    <row r="86" spans="2:45" s="27" customFormat="1" ht="17.399999999999999" customHeight="1" x14ac:dyDescent="0.25">
      <c r="B86" s="29" t="s">
        <v>25</v>
      </c>
      <c r="C86" s="29"/>
      <c r="D86" s="29"/>
      <c r="E86" s="29"/>
      <c r="F86" s="29"/>
      <c r="G86" s="26" t="s">
        <v>24</v>
      </c>
      <c r="H86" s="25"/>
      <c r="I86" s="25"/>
      <c r="J86" s="25"/>
      <c r="K86" s="25"/>
      <c r="L86" s="25"/>
      <c r="M86" s="25"/>
      <c r="N86" s="24"/>
      <c r="AQ86" s="28"/>
    </row>
    <row r="87" spans="2:45" s="1" customFormat="1" ht="17.399999999999999" customHeight="1" x14ac:dyDescent="0.25">
      <c r="B87" s="21" t="s">
        <v>23</v>
      </c>
      <c r="C87" s="20"/>
      <c r="D87" s="19"/>
      <c r="E87" s="14" t="s">
        <v>9</v>
      </c>
      <c r="F87" s="14" t="s">
        <v>2</v>
      </c>
      <c r="G87" s="14" t="s">
        <v>22</v>
      </c>
      <c r="H87" s="26" t="s">
        <v>21</v>
      </c>
      <c r="I87" s="25"/>
      <c r="J87" s="24"/>
      <c r="K87" s="23" t="s">
        <v>20</v>
      </c>
      <c r="L87" s="23"/>
      <c r="M87" s="23"/>
      <c r="N87" s="22" t="s">
        <v>19</v>
      </c>
      <c r="AQ87" s="2"/>
    </row>
    <row r="88" spans="2:45" s="1" customFormat="1" x14ac:dyDescent="0.25">
      <c r="B88" s="17"/>
      <c r="C88" s="16"/>
      <c r="D88" s="15"/>
      <c r="E88" s="14" t="s">
        <v>9</v>
      </c>
      <c r="F88" s="14" t="s">
        <v>0</v>
      </c>
      <c r="G88" s="14" t="s">
        <v>18</v>
      </c>
      <c r="H88" s="26" t="s">
        <v>17</v>
      </c>
      <c r="I88" s="25"/>
      <c r="J88" s="24"/>
      <c r="K88" s="23" t="s">
        <v>16</v>
      </c>
      <c r="L88" s="23"/>
      <c r="M88" s="23"/>
      <c r="N88" s="22" t="s">
        <v>15</v>
      </c>
      <c r="AQ88" s="2"/>
    </row>
    <row r="89" spans="2:45" s="1" customFormat="1" ht="17.399999999999999" customHeight="1" x14ac:dyDescent="0.25">
      <c r="B89" s="21" t="s">
        <v>14</v>
      </c>
      <c r="C89" s="20"/>
      <c r="D89" s="19"/>
      <c r="E89" s="14" t="s">
        <v>9</v>
      </c>
      <c r="F89" s="14" t="s">
        <v>2</v>
      </c>
      <c r="G89" s="14" t="s">
        <v>13</v>
      </c>
      <c r="H89" s="26" t="s">
        <v>12</v>
      </c>
      <c r="I89" s="25"/>
      <c r="J89" s="24"/>
      <c r="K89" s="23" t="s">
        <v>11</v>
      </c>
      <c r="L89" s="23"/>
      <c r="M89" s="23"/>
      <c r="N89" s="22" t="s">
        <v>10</v>
      </c>
      <c r="AQ89" s="2"/>
    </row>
    <row r="90" spans="2:45" s="1" customFormat="1" x14ac:dyDescent="0.25">
      <c r="B90" s="17"/>
      <c r="C90" s="16"/>
      <c r="D90" s="15"/>
      <c r="E90" s="14" t="s">
        <v>9</v>
      </c>
      <c r="F90" s="14" t="s">
        <v>0</v>
      </c>
      <c r="G90" s="14" t="s">
        <v>8</v>
      </c>
      <c r="H90" s="26" t="s">
        <v>7</v>
      </c>
      <c r="I90" s="25"/>
      <c r="J90" s="24"/>
      <c r="K90" s="23" t="s">
        <v>6</v>
      </c>
      <c r="L90" s="23"/>
      <c r="M90" s="23"/>
      <c r="N90" s="22" t="s">
        <v>5</v>
      </c>
      <c r="AQ90" s="2"/>
    </row>
    <row r="91" spans="2:45" s="1" customFormat="1" ht="17.399999999999999" customHeight="1" x14ac:dyDescent="0.25">
      <c r="B91" s="21" t="s">
        <v>4</v>
      </c>
      <c r="C91" s="20"/>
      <c r="D91" s="19"/>
      <c r="E91" s="14" t="s">
        <v>1</v>
      </c>
      <c r="F91" s="14" t="s">
        <v>2</v>
      </c>
      <c r="G91" s="13">
        <v>17</v>
      </c>
      <c r="H91" s="12">
        <v>22.2</v>
      </c>
      <c r="I91" s="11"/>
      <c r="J91" s="10"/>
      <c r="K91" s="9">
        <v>27.4</v>
      </c>
      <c r="L91" s="9"/>
      <c r="M91" s="9"/>
      <c r="N91" s="8">
        <v>38.299999999999997</v>
      </c>
      <c r="AQ91" s="2"/>
    </row>
    <row r="92" spans="2:45" s="1" customFormat="1" x14ac:dyDescent="0.25">
      <c r="B92" s="17"/>
      <c r="C92" s="16"/>
      <c r="D92" s="15"/>
      <c r="E92" s="14" t="s">
        <v>1</v>
      </c>
      <c r="F92" s="14" t="s">
        <v>0</v>
      </c>
      <c r="G92" s="13">
        <v>2.2999999999999998</v>
      </c>
      <c r="H92" s="12">
        <v>3.4</v>
      </c>
      <c r="I92" s="11"/>
      <c r="J92" s="10"/>
      <c r="K92" s="9">
        <v>5.2</v>
      </c>
      <c r="L92" s="9"/>
      <c r="M92" s="9"/>
      <c r="N92" s="8">
        <v>7.8</v>
      </c>
      <c r="AQ92" s="2"/>
    </row>
    <row r="93" spans="2:45" s="1" customFormat="1" ht="17.399999999999999" customHeight="1" x14ac:dyDescent="0.25">
      <c r="B93" s="21" t="s">
        <v>3</v>
      </c>
      <c r="C93" s="20"/>
      <c r="D93" s="19"/>
      <c r="E93" s="14" t="s">
        <v>1</v>
      </c>
      <c r="F93" s="14" t="s">
        <v>2</v>
      </c>
      <c r="G93" s="18">
        <v>19.600000000000001</v>
      </c>
      <c r="H93" s="12">
        <v>25</v>
      </c>
      <c r="I93" s="11"/>
      <c r="J93" s="10"/>
      <c r="K93" s="9">
        <v>31.2</v>
      </c>
      <c r="L93" s="9"/>
      <c r="M93" s="9"/>
      <c r="N93" s="8">
        <v>42.9</v>
      </c>
      <c r="AQ93" s="2"/>
    </row>
    <row r="94" spans="2:45" s="1" customFormat="1" x14ac:dyDescent="0.25">
      <c r="B94" s="17"/>
      <c r="C94" s="16"/>
      <c r="D94" s="15"/>
      <c r="E94" s="14" t="s">
        <v>1</v>
      </c>
      <c r="F94" s="14" t="s">
        <v>0</v>
      </c>
      <c r="G94" s="13">
        <v>3.4</v>
      </c>
      <c r="H94" s="12">
        <v>4.9000000000000004</v>
      </c>
      <c r="I94" s="11"/>
      <c r="J94" s="10"/>
      <c r="K94" s="9">
        <v>7.2</v>
      </c>
      <c r="L94" s="9"/>
      <c r="M94" s="9"/>
      <c r="N94" s="8">
        <v>10.5</v>
      </c>
      <c r="AQ94" s="2"/>
    </row>
    <row r="95" spans="2:45" s="1" customFormat="1" x14ac:dyDescent="0.25">
      <c r="B95" s="7"/>
      <c r="C95" s="6"/>
      <c r="D95" s="6"/>
      <c r="E95" s="5"/>
      <c r="F95" s="5"/>
      <c r="G95" s="5"/>
      <c r="H95" s="5"/>
      <c r="I95" s="5"/>
      <c r="J95" s="5"/>
      <c r="K95" s="5"/>
      <c r="L95" s="5"/>
      <c r="M95" s="5"/>
      <c r="N95" s="5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2"/>
      <c r="AS95" s="2"/>
    </row>
  </sheetData>
  <mergeCells count="116">
    <mergeCell ref="G6:J7"/>
    <mergeCell ref="G8:J8"/>
    <mergeCell ref="C13:C15"/>
    <mergeCell ref="B25:D25"/>
    <mergeCell ref="E25:N25"/>
    <mergeCell ref="B28:B30"/>
    <mergeCell ref="B16:B18"/>
    <mergeCell ref="B19:B21"/>
    <mergeCell ref="B22:B24"/>
    <mergeCell ref="C28:C30"/>
    <mergeCell ref="E37:N37"/>
    <mergeCell ref="B38:D38"/>
    <mergeCell ref="E38:N38"/>
    <mergeCell ref="H10:I10"/>
    <mergeCell ref="B12:D12"/>
    <mergeCell ref="B13:B15"/>
    <mergeCell ref="C16:C18"/>
    <mergeCell ref="C19:C21"/>
    <mergeCell ref="C22:C24"/>
    <mergeCell ref="E33:N33"/>
    <mergeCell ref="B34:D34"/>
    <mergeCell ref="E34:N34"/>
    <mergeCell ref="B35:D35"/>
    <mergeCell ref="E35:N35"/>
    <mergeCell ref="B39:D39"/>
    <mergeCell ref="E39:N39"/>
    <mergeCell ref="B36:D36"/>
    <mergeCell ref="E36:N36"/>
    <mergeCell ref="B37:D37"/>
    <mergeCell ref="E40:N40"/>
    <mergeCell ref="B41:D41"/>
    <mergeCell ref="E41:N41"/>
    <mergeCell ref="B42:B43"/>
    <mergeCell ref="E42:G42"/>
    <mergeCell ref="H42:J42"/>
    <mergeCell ref="K42:M42"/>
    <mergeCell ref="E43:G43"/>
    <mergeCell ref="H43:J43"/>
    <mergeCell ref="K43:M43"/>
    <mergeCell ref="B44:B45"/>
    <mergeCell ref="E44:G44"/>
    <mergeCell ref="H44:J44"/>
    <mergeCell ref="K44:M44"/>
    <mergeCell ref="E45:G45"/>
    <mergeCell ref="H45:J45"/>
    <mergeCell ref="K45:M45"/>
    <mergeCell ref="E48:G48"/>
    <mergeCell ref="H48:J48"/>
    <mergeCell ref="K48:M48"/>
    <mergeCell ref="E49:G49"/>
    <mergeCell ref="H49:J49"/>
    <mergeCell ref="K49:M49"/>
    <mergeCell ref="E62:E64"/>
    <mergeCell ref="E65:E67"/>
    <mergeCell ref="B46:B47"/>
    <mergeCell ref="E46:G46"/>
    <mergeCell ref="H46:J46"/>
    <mergeCell ref="K46:M46"/>
    <mergeCell ref="E47:G47"/>
    <mergeCell ref="H47:J47"/>
    <mergeCell ref="K47:M47"/>
    <mergeCell ref="B48:B49"/>
    <mergeCell ref="B78:D78"/>
    <mergeCell ref="G78:N78"/>
    <mergeCell ref="B69:D69"/>
    <mergeCell ref="B70:D70"/>
    <mergeCell ref="E71:E73"/>
    <mergeCell ref="B76:D77"/>
    <mergeCell ref="B74:D75"/>
    <mergeCell ref="B71:D73"/>
    <mergeCell ref="B62:D64"/>
    <mergeCell ref="B65:D67"/>
    <mergeCell ref="B68:F68"/>
    <mergeCell ref="G68:N68"/>
    <mergeCell ref="H53:I53"/>
    <mergeCell ref="B55:F55"/>
    <mergeCell ref="B56:D58"/>
    <mergeCell ref="B59:D61"/>
    <mergeCell ref="E56:E58"/>
    <mergeCell ref="E59:E61"/>
    <mergeCell ref="B81:F81"/>
    <mergeCell ref="G81:N81"/>
    <mergeCell ref="G85:N85"/>
    <mergeCell ref="B79:F79"/>
    <mergeCell ref="G79:N79"/>
    <mergeCell ref="B80:F80"/>
    <mergeCell ref="G80:N80"/>
    <mergeCell ref="H87:J87"/>
    <mergeCell ref="K87:M87"/>
    <mergeCell ref="B82:F82"/>
    <mergeCell ref="G82:N82"/>
    <mergeCell ref="B83:F83"/>
    <mergeCell ref="G83:N83"/>
    <mergeCell ref="B84:F84"/>
    <mergeCell ref="G84:N84"/>
    <mergeCell ref="B85:D85"/>
    <mergeCell ref="B93:D94"/>
    <mergeCell ref="B91:D92"/>
    <mergeCell ref="B89:D90"/>
    <mergeCell ref="B87:D88"/>
    <mergeCell ref="H94:J94"/>
    <mergeCell ref="K94:M94"/>
    <mergeCell ref="H92:J92"/>
    <mergeCell ref="K92:M92"/>
    <mergeCell ref="H93:J93"/>
    <mergeCell ref="K93:M93"/>
    <mergeCell ref="B86:F86"/>
    <mergeCell ref="H90:J90"/>
    <mergeCell ref="K90:M90"/>
    <mergeCell ref="H91:J91"/>
    <mergeCell ref="K91:M91"/>
    <mergeCell ref="H88:J88"/>
    <mergeCell ref="K88:M88"/>
    <mergeCell ref="H89:J89"/>
    <mergeCell ref="K89:M89"/>
    <mergeCell ref="G86:N86"/>
  </mergeCells>
  <conditionalFormatting sqref="E16:N21 G59:N64">
    <cfRule type="cellIs" dxfId="1" priority="1" operator="between">
      <formula>$AT$5</formula>
      <formula>$AT$6</formula>
    </cfRule>
  </conditionalFormatting>
  <conditionalFormatting sqref="E22:N24 G65:N67">
    <cfRule type="cellIs" dxfId="0" priority="2" operator="between">
      <formula>$AT$5</formula>
      <formula>$AT$6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CF select</vt:lpstr>
      <vt:lpstr>'CF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Donatas Grigonis</cp:lastModifiedBy>
  <dcterms:created xsi:type="dcterms:W3CDTF">2026-01-10T19:45:06Z</dcterms:created>
  <dcterms:modified xsi:type="dcterms:W3CDTF">2026-01-10T19:45:17Z</dcterms:modified>
</cp:coreProperties>
</file>