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eb801f2f01c618f2/Stalinis kompiuteris/Tinklalapis _Dokumentai parsisiuntimui/Parsisiusti/2 Fankoilai/3 Ortakiniai/"/>
    </mc:Choice>
  </mc:AlternateContent>
  <xr:revisionPtr revIDLastSave="43" documentId="8_{B5F7BCAB-E1AF-4D26-8910-5B454E85A503}" xr6:coauthVersionLast="47" xr6:coauthVersionMax="47" xr10:uidLastSave="{26191AF6-8FA1-40F0-A4E6-A54D1394F264}"/>
  <bookViews>
    <workbookView xWindow="13500" yWindow="1380" windowWidth="12945" windowHeight="11895" xr2:uid="{DE07D575-C912-4320-8A8A-3B13946F98AF}"/>
  </bookViews>
  <sheets>
    <sheet name="DF select LT" sheetId="1" r:id="rId1"/>
  </sheets>
  <definedNames>
    <definedName name="_xlnm.Print_Area" localSheetId="0">'DF select LT'!$B$2:$N$28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4" i="1" l="1"/>
  <c r="C25" i="1"/>
  <c r="C20" i="1"/>
  <c r="C24" i="1"/>
  <c r="C19" i="1"/>
  <c r="C15" i="1"/>
  <c r="AY31" i="1" l="1"/>
  <c r="BD31" i="1" s="1"/>
  <c r="AX31" i="1"/>
  <c r="BC31" i="1" s="1"/>
  <c r="AW31" i="1"/>
  <c r="BB31" i="1" s="1"/>
  <c r="AV31" i="1"/>
  <c r="BA31" i="1" s="1"/>
  <c r="AU31" i="1"/>
  <c r="AZ31" i="1" s="1"/>
  <c r="AS31" i="1"/>
  <c r="AR31" i="1"/>
  <c r="AQ31" i="1"/>
  <c r="AP31" i="1"/>
  <c r="AO31" i="1"/>
  <c r="BA30" i="1"/>
  <c r="AZ30" i="1"/>
  <c r="AY30" i="1"/>
  <c r="BD30" i="1" s="1"/>
  <c r="AX30" i="1"/>
  <c r="BC30" i="1" s="1"/>
  <c r="AW30" i="1"/>
  <c r="BB30" i="1" s="1"/>
  <c r="AV30" i="1"/>
  <c r="AU30" i="1"/>
  <c r="AS30" i="1"/>
  <c r="AR30" i="1"/>
  <c r="AQ30" i="1"/>
  <c r="AP30" i="1"/>
  <c r="AO30" i="1"/>
  <c r="BD29" i="1"/>
  <c r="BC29" i="1"/>
  <c r="BB29" i="1"/>
  <c r="AZ29" i="1"/>
  <c r="AY29" i="1"/>
  <c r="AX29" i="1"/>
  <c r="AW29" i="1"/>
  <c r="AV29" i="1"/>
  <c r="BA29" i="1" s="1"/>
  <c r="AU29" i="1"/>
  <c r="AS29" i="1"/>
  <c r="AR29" i="1"/>
  <c r="AQ29" i="1"/>
  <c r="AP29" i="1"/>
  <c r="AO29" i="1"/>
  <c r="AK27" i="1"/>
  <c r="BB25" i="1"/>
  <c r="BA25" i="1"/>
  <c r="AZ25" i="1"/>
  <c r="AY25" i="1"/>
  <c r="BD25" i="1" s="1"/>
  <c r="AX25" i="1"/>
  <c r="BC25" i="1" s="1"/>
  <c r="AW25" i="1"/>
  <c r="AV25" i="1"/>
  <c r="AU25" i="1"/>
  <c r="AS25" i="1"/>
  <c r="AR25" i="1"/>
  <c r="AQ25" i="1"/>
  <c r="AP25" i="1"/>
  <c r="AO25" i="1"/>
  <c r="BD24" i="1"/>
  <c r="BC24" i="1"/>
  <c r="BA24" i="1"/>
  <c r="AZ24" i="1"/>
  <c r="AY24" i="1"/>
  <c r="AX24" i="1"/>
  <c r="AW24" i="1"/>
  <c r="BB24" i="1" s="1"/>
  <c r="AV24" i="1"/>
  <c r="AU24" i="1"/>
  <c r="AS24" i="1"/>
  <c r="AR24" i="1"/>
  <c r="AQ24" i="1"/>
  <c r="AP24" i="1"/>
  <c r="AO24" i="1"/>
  <c r="D24" i="1"/>
  <c r="BD23" i="1"/>
  <c r="BC23" i="1"/>
  <c r="AY23" i="1"/>
  <c r="AX23" i="1"/>
  <c r="AW23" i="1"/>
  <c r="BB23" i="1" s="1"/>
  <c r="AV23" i="1"/>
  <c r="BA23" i="1" s="1"/>
  <c r="AU23" i="1"/>
  <c r="AZ23" i="1" s="1"/>
  <c r="AS23" i="1"/>
  <c r="AR23" i="1"/>
  <c r="AQ23" i="1"/>
  <c r="AP23" i="1"/>
  <c r="AO23" i="1"/>
  <c r="BD19" i="1"/>
  <c r="BB19" i="1"/>
  <c r="BA19" i="1"/>
  <c r="AY19" i="1"/>
  <c r="AX19" i="1"/>
  <c r="BC19" i="1" s="1"/>
  <c r="AW19" i="1"/>
  <c r="AV19" i="1"/>
  <c r="AU19" i="1"/>
  <c r="AZ19" i="1" s="1"/>
  <c r="AS19" i="1"/>
  <c r="AR19" i="1"/>
  <c r="AQ19" i="1"/>
  <c r="AP19" i="1"/>
  <c r="AO19" i="1"/>
  <c r="D19" i="1"/>
  <c r="BD18" i="1"/>
  <c r="BA18" i="1"/>
  <c r="AY18" i="1"/>
  <c r="AX18" i="1"/>
  <c r="BC18" i="1" s="1"/>
  <c r="AW18" i="1"/>
  <c r="BB18" i="1" s="1"/>
  <c r="AV18" i="1"/>
  <c r="AU18" i="1"/>
  <c r="AZ18" i="1" s="1"/>
  <c r="AS18" i="1"/>
  <c r="AR18" i="1"/>
  <c r="AQ18" i="1"/>
  <c r="AP18" i="1"/>
  <c r="AO18" i="1"/>
  <c r="AY17" i="1"/>
  <c r="BD17" i="1" s="1"/>
  <c r="AX17" i="1"/>
  <c r="BC17" i="1" s="1"/>
  <c r="AW17" i="1"/>
  <c r="BB17" i="1" s="1"/>
  <c r="AV17" i="1"/>
  <c r="BA17" i="1" s="1"/>
  <c r="AU17" i="1"/>
  <c r="AZ17" i="1" s="1"/>
  <c r="AS17" i="1"/>
  <c r="AR17" i="1"/>
  <c r="AQ17" i="1"/>
  <c r="AP17" i="1"/>
  <c r="AO17" i="1"/>
  <c r="AW16" i="1"/>
  <c r="BD15" i="1"/>
  <c r="AU15" i="1"/>
  <c r="D14" i="1"/>
  <c r="AK8" i="1"/>
  <c r="AJ8" i="1"/>
  <c r="AM3" i="1"/>
  <c r="AX20" i="1" s="1"/>
  <c r="AM2" i="1"/>
  <c r="AU28" i="1" l="1"/>
  <c r="BA14" i="1"/>
  <c r="AL27" i="1"/>
  <c r="AU20" i="1"/>
  <c r="AY28" i="1"/>
  <c r="AY20" i="1"/>
  <c r="AK21" i="1"/>
  <c r="AJ14" i="1"/>
  <c r="AU21" i="1"/>
  <c r="AP14" i="1"/>
  <c r="K14" i="1" s="1"/>
  <c r="AU22" i="1"/>
  <c r="AY14" i="1"/>
  <c r="AZ14" i="1"/>
  <c r="AL15" i="1"/>
  <c r="AJ16" i="1"/>
  <c r="AU26" i="1"/>
  <c r="AK16" i="1"/>
  <c r="AJ27" i="1"/>
  <c r="AZ26" i="1"/>
  <c r="AL26" i="1"/>
  <c r="G24" i="1" s="1"/>
  <c r="G27" i="1" s="1"/>
  <c r="G28" i="1" s="1"/>
  <c r="AX27" i="1"/>
  <c r="AS14" i="1"/>
  <c r="AY15" i="1"/>
  <c r="AX16" i="1"/>
  <c r="AV20" i="1"/>
  <c r="AX21" i="1"/>
  <c r="AJ22" i="1"/>
  <c r="AY27" i="1"/>
  <c r="AW14" i="1"/>
  <c r="BB15" i="1"/>
  <c r="AY16" i="1"/>
  <c r="AW20" i="1"/>
  <c r="AY21" i="1"/>
  <c r="AN22" i="1"/>
  <c r="AX14" i="1"/>
  <c r="BC15" i="1"/>
  <c r="BC16" i="1"/>
  <c r="AN28" i="1"/>
  <c r="AU27" i="1"/>
  <c r="AN26" i="1"/>
  <c r="AW21" i="1"/>
  <c r="AJ21" i="1"/>
  <c r="AR16" i="1"/>
  <c r="BA15" i="1"/>
  <c r="AN15" i="1"/>
  <c r="AV14" i="1"/>
  <c r="AM28" i="1"/>
  <c r="AM26" i="1"/>
  <c r="AV21" i="1"/>
  <c r="BD16" i="1"/>
  <c r="AQ16" i="1"/>
  <c r="AZ15" i="1"/>
  <c r="AM15" i="1"/>
  <c r="AU14" i="1"/>
  <c r="AZ20" i="1" s="1"/>
  <c r="AX28" i="1"/>
  <c r="AK28" i="1"/>
  <c r="AX26" i="1"/>
  <c r="AK26" i="1"/>
  <c r="F24" i="1" s="1"/>
  <c r="F27" i="1" s="1"/>
  <c r="F28" i="1" s="1"/>
  <c r="AM22" i="1"/>
  <c r="BB16" i="1"/>
  <c r="AO16" i="1"/>
  <c r="AX15" i="1"/>
  <c r="AK15" i="1"/>
  <c r="AR14" i="1"/>
  <c r="AW28" i="1"/>
  <c r="AJ28" i="1"/>
  <c r="AW26" i="1"/>
  <c r="AJ26" i="1"/>
  <c r="E24" i="1" s="1"/>
  <c r="AY22" i="1"/>
  <c r="AL22" i="1"/>
  <c r="AN20" i="1"/>
  <c r="I19" i="1" s="1"/>
  <c r="BA16" i="1"/>
  <c r="AN16" i="1"/>
  <c r="AW15" i="1"/>
  <c r="AJ15" i="1"/>
  <c r="BD14" i="1"/>
  <c r="AQ14" i="1"/>
  <c r="AV28" i="1"/>
  <c r="AV26" i="1"/>
  <c r="AX22" i="1"/>
  <c r="AK22" i="1"/>
  <c r="AM20" i="1"/>
  <c r="H19" i="1" s="1"/>
  <c r="H22" i="1" s="1"/>
  <c r="H23" i="1" s="1"/>
  <c r="AZ16" i="1"/>
  <c r="AM16" i="1"/>
  <c r="AV15" i="1"/>
  <c r="AK14" i="1"/>
  <c r="BB14" i="1"/>
  <c r="AO15" i="1"/>
  <c r="AL16" i="1"/>
  <c r="AJ20" i="1"/>
  <c r="E19" i="1" s="1"/>
  <c r="E20" i="1" s="1"/>
  <c r="AL21" i="1"/>
  <c r="AV22" i="1"/>
  <c r="AY26" i="1"/>
  <c r="I24" i="1" s="1"/>
  <c r="I27" i="1" s="1"/>
  <c r="I28" i="1" s="1"/>
  <c r="AM27" i="1"/>
  <c r="AL14" i="1"/>
  <c r="G14" i="1" s="1"/>
  <c r="G17" i="1" s="1"/>
  <c r="G18" i="1" s="1"/>
  <c r="BC14" i="1"/>
  <c r="AP15" i="1"/>
  <c r="AP16" i="1"/>
  <c r="AK20" i="1"/>
  <c r="AM21" i="1"/>
  <c r="AW22" i="1"/>
  <c r="AN27" i="1"/>
  <c r="AM14" i="1"/>
  <c r="AQ15" i="1"/>
  <c r="AS16" i="1"/>
  <c r="AL20" i="1"/>
  <c r="G19" i="1" s="1"/>
  <c r="G22" i="1" s="1"/>
  <c r="G23" i="1" s="1"/>
  <c r="AN21" i="1"/>
  <c r="AN14" i="1"/>
  <c r="I14" i="1" s="1"/>
  <c r="AR15" i="1"/>
  <c r="AU16" i="1"/>
  <c r="AV27" i="1"/>
  <c r="AO14" i="1"/>
  <c r="AS15" i="1"/>
  <c r="AV16" i="1"/>
  <c r="AW27" i="1"/>
  <c r="AL28" i="1"/>
  <c r="J14" i="1"/>
  <c r="E22" i="1"/>
  <c r="E23" i="1" s="1"/>
  <c r="H24" i="1"/>
  <c r="I20" i="1" l="1"/>
  <c r="I22" i="1"/>
  <c r="I23" i="1" s="1"/>
  <c r="I25" i="1"/>
  <c r="G25" i="1"/>
  <c r="G15" i="1"/>
  <c r="F25" i="1"/>
  <c r="BA20" i="1"/>
  <c r="BD21" i="1"/>
  <c r="H14" i="1"/>
  <c r="H15" i="1" s="1"/>
  <c r="BA26" i="1"/>
  <c r="BD27" i="1"/>
  <c r="F19" i="1"/>
  <c r="F14" i="1"/>
  <c r="F15" i="1" s="1"/>
  <c r="E14" i="1"/>
  <c r="AP26" i="1"/>
  <c r="K24" i="1" s="1"/>
  <c r="H20" i="1"/>
  <c r="J17" i="1"/>
  <c r="J18" i="1" s="1"/>
  <c r="J15" i="1"/>
  <c r="AS28" i="1"/>
  <c r="AS22" i="1"/>
  <c r="AS20" i="1"/>
  <c r="AS26" i="1"/>
  <c r="N14" i="1"/>
  <c r="AQ27" i="1"/>
  <c r="AQ21" i="1"/>
  <c r="E25" i="1"/>
  <c r="E27" i="1"/>
  <c r="E28" i="1" s="1"/>
  <c r="BA27" i="1"/>
  <c r="BA21" i="1"/>
  <c r="AR28" i="1"/>
  <c r="AR22" i="1"/>
  <c r="K17" i="1"/>
  <c r="K18" i="1" s="1"/>
  <c r="K15" i="1"/>
  <c r="AS27" i="1"/>
  <c r="AS21" i="1"/>
  <c r="AQ20" i="1"/>
  <c r="AQ26" i="1"/>
  <c r="L14" i="1"/>
  <c r="BB27" i="1"/>
  <c r="BB21" i="1"/>
  <c r="AO20" i="1"/>
  <c r="J19" i="1" s="1"/>
  <c r="AO26" i="1"/>
  <c r="J24" i="1" s="1"/>
  <c r="AO27" i="1"/>
  <c r="AO21" i="1"/>
  <c r="BD20" i="1"/>
  <c r="BD26" i="1"/>
  <c r="AR20" i="1"/>
  <c r="M14" i="1"/>
  <c r="AR26" i="1"/>
  <c r="AZ21" i="1"/>
  <c r="AZ27" i="1"/>
  <c r="BB20" i="1"/>
  <c r="BB26" i="1"/>
  <c r="AQ22" i="1"/>
  <c r="AQ28" i="1"/>
  <c r="H27" i="1"/>
  <c r="H28" i="1" s="1"/>
  <c r="H25" i="1"/>
  <c r="AP22" i="1"/>
  <c r="AP28" i="1"/>
  <c r="BD22" i="1"/>
  <c r="BD28" i="1"/>
  <c r="AP20" i="1"/>
  <c r="K19" i="1" s="1"/>
  <c r="AR21" i="1"/>
  <c r="AR27" i="1"/>
  <c r="AP27" i="1"/>
  <c r="AP21" i="1"/>
  <c r="AO22" i="1"/>
  <c r="AO28" i="1"/>
  <c r="BC22" i="1"/>
  <c r="BC28" i="1"/>
  <c r="G20" i="1"/>
  <c r="I17" i="1"/>
  <c r="I18" i="1" s="1"/>
  <c r="I15" i="1"/>
  <c r="BC26" i="1"/>
  <c r="BC20" i="1"/>
  <c r="BA28" i="1"/>
  <c r="BA22" i="1"/>
  <c r="BB22" i="1"/>
  <c r="BB28" i="1"/>
  <c r="BC27" i="1"/>
  <c r="BC21" i="1"/>
  <c r="AZ28" i="1"/>
  <c r="AZ22" i="1"/>
  <c r="F20" i="1" l="1"/>
  <c r="F22" i="1"/>
  <c r="F23" i="1" s="1"/>
  <c r="H17" i="1"/>
  <c r="H18" i="1" s="1"/>
  <c r="F17" i="1"/>
  <c r="F18" i="1" s="1"/>
  <c r="E15" i="1"/>
  <c r="E17" i="1"/>
  <c r="E18" i="1" s="1"/>
  <c r="M24" i="1"/>
  <c r="L24" i="1"/>
  <c r="L19" i="1"/>
  <c r="L20" i="1" s="1"/>
  <c r="M19" i="1"/>
  <c r="M22" i="1" s="1"/>
  <c r="M23" i="1" s="1"/>
  <c r="N24" i="1"/>
  <c r="N27" i="1" s="1"/>
  <c r="N28" i="1" s="1"/>
  <c r="N19" i="1"/>
  <c r="N20" i="1" s="1"/>
  <c r="L22" i="1"/>
  <c r="L23" i="1" s="1"/>
  <c r="N15" i="1"/>
  <c r="N17" i="1"/>
  <c r="N18" i="1" s="1"/>
  <c r="J22" i="1"/>
  <c r="J23" i="1" s="1"/>
  <c r="J20" i="1"/>
  <c r="K22" i="1"/>
  <c r="K23" i="1" s="1"/>
  <c r="K20" i="1"/>
  <c r="M15" i="1"/>
  <c r="M17" i="1"/>
  <c r="M18" i="1" s="1"/>
  <c r="J27" i="1"/>
  <c r="J28" i="1" s="1"/>
  <c r="J25" i="1"/>
  <c r="L17" i="1"/>
  <c r="L18" i="1" s="1"/>
  <c r="L15" i="1"/>
  <c r="M25" i="1"/>
  <c r="M27" i="1"/>
  <c r="M28" i="1" s="1"/>
  <c r="L25" i="1"/>
  <c r="L27" i="1"/>
  <c r="L28" i="1" s="1"/>
  <c r="K25" i="1"/>
  <c r="K27" i="1"/>
  <c r="K28" i="1" s="1"/>
  <c r="N22" i="1" l="1"/>
  <c r="N23" i="1" s="1"/>
  <c r="N25" i="1"/>
  <c r="M20" i="1"/>
</calcChain>
</file>

<file path=xl/sharedStrings.xml><?xml version="1.0" encoding="utf-8"?>
<sst xmlns="http://schemas.openxmlformats.org/spreadsheetml/2006/main" count="82" uniqueCount="49">
  <si>
    <t>Cooling / Heating</t>
  </si>
  <si>
    <t>dT</t>
  </si>
  <si>
    <t>2-pipe cooling</t>
  </si>
  <si>
    <t>4-pipe cooling</t>
  </si>
  <si>
    <t>2-pipe heating</t>
  </si>
  <si>
    <t>4-pipe heating</t>
  </si>
  <si>
    <t>DF2 51</t>
  </si>
  <si>
    <t>DF2 68</t>
  </si>
  <si>
    <t>DF2 102</t>
  </si>
  <si>
    <t>DF2 136</t>
  </si>
  <si>
    <t>DF2 204</t>
  </si>
  <si>
    <t>DF4 51</t>
  </si>
  <si>
    <t>DF4 68</t>
  </si>
  <si>
    <t>DF4 102</t>
  </si>
  <si>
    <t>DF4 136</t>
  </si>
  <si>
    <t>DF4 204</t>
  </si>
  <si>
    <t>Pa</t>
  </si>
  <si>
    <r>
      <rPr>
        <sz val="11"/>
        <color rgb="FF231F20"/>
        <rFont val="Aptos"/>
        <family val="2"/>
      </rPr>
      <t>DF2 51</t>
    </r>
  </si>
  <si>
    <r>
      <rPr>
        <sz val="11"/>
        <color rgb="FF231F20"/>
        <rFont val="Aptos"/>
        <family val="2"/>
      </rPr>
      <t>DF2 68</t>
    </r>
  </si>
  <si>
    <r>
      <rPr>
        <sz val="11"/>
        <color rgb="FF231F20"/>
        <rFont val="Aptos"/>
        <family val="2"/>
      </rPr>
      <t>DF2 102</t>
    </r>
  </si>
  <si>
    <r>
      <rPr>
        <sz val="11"/>
        <color rgb="FF231F20"/>
        <rFont val="Aptos"/>
        <family val="2"/>
      </rPr>
      <t>DF2 136</t>
    </r>
  </si>
  <si>
    <r>
      <rPr>
        <sz val="11"/>
        <color rgb="FF231F20"/>
        <rFont val="Aptos"/>
        <family val="2"/>
      </rPr>
      <t>DF2 204</t>
    </r>
  </si>
  <si>
    <t>H</t>
  </si>
  <si>
    <t>Capacity</t>
  </si>
  <si>
    <t>W</t>
  </si>
  <si>
    <t>m3/h</t>
  </si>
  <si>
    <t>l/h</t>
  </si>
  <si>
    <t>Aif flow</t>
  </si>
  <si>
    <t>kPa</t>
  </si>
  <si>
    <t>M</t>
  </si>
  <si>
    <t>L</t>
  </si>
  <si>
    <t xml:space="preserve">Patalpos temperatūra, °C </t>
  </si>
  <si>
    <t>Išorinis statinis slėgis, Pa</t>
  </si>
  <si>
    <t xml:space="preserve">Reikalinga galia, W </t>
  </si>
  <si>
    <t xml:space="preserve">Paklaida + </t>
  </si>
  <si>
    <t xml:space="preserve">Paklaida - </t>
  </si>
  <si>
    <t>Greitis</t>
  </si>
  <si>
    <t>Vidutinis</t>
  </si>
  <si>
    <t>Maks.</t>
  </si>
  <si>
    <t>Min.</t>
  </si>
  <si>
    <t>Parametras</t>
  </si>
  <si>
    <t>4-ių vamzdžių versija</t>
  </si>
  <si>
    <t>Oro srautas</t>
  </si>
  <si>
    <t>Vandens srautas</t>
  </si>
  <si>
    <t>Maks. slėgio nuostoliai</t>
  </si>
  <si>
    <r>
      <t xml:space="preserve">Ortakinių fankoilų </t>
    </r>
    <r>
      <rPr>
        <b/>
        <sz val="20"/>
        <rFont val="Aptos"/>
        <family val="2"/>
      </rPr>
      <t>DF</t>
    </r>
    <r>
      <rPr>
        <sz val="20"/>
        <rFont val="Aptos"/>
        <family val="2"/>
      </rPr>
      <t xml:space="preserve">
techniniai duomenys</t>
    </r>
  </si>
  <si>
    <t xml:space="preserve">Įtekančio vandens temp., °C </t>
  </si>
  <si>
    <t xml:space="preserve">Ištekančio vandens temp., °C </t>
  </si>
  <si>
    <t>2-jų vamzdžių versija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</si>
</sst>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%"/>
  </numFmts>
  <fonts count="11" x14ac:knownFonts="1"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name val="Aptos"/>
      <family val="2"/>
    </font>
    <font>
      <b/>
      <sz val="18"/>
      <name val="Aptos"/>
      <family val="2"/>
    </font>
    <font>
      <b/>
      <sz val="12"/>
      <color rgb="FFFF0000"/>
      <name val="Aptos"/>
      <family val="2"/>
    </font>
    <font>
      <b/>
      <sz val="12"/>
      <name val="Aptos"/>
      <family val="2"/>
    </font>
    <font>
      <sz val="11"/>
      <name val="Aptos"/>
      <family val="2"/>
    </font>
    <font>
      <sz val="11"/>
      <color rgb="FF231F20"/>
      <name val="Aptos"/>
      <family val="2"/>
    </font>
    <font>
      <sz val="12"/>
      <color rgb="FF000000"/>
      <name val="Aptos"/>
      <family val="2"/>
    </font>
    <font>
      <sz val="20"/>
      <name val="Aptos"/>
      <family val="2"/>
    </font>
    <font>
      <b/>
      <sz val="20"/>
      <name val="Aptos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E2E2E2"/>
      </patternFill>
    </fill>
  </fills>
  <borders count="3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5">
    <xf numFmtId="0" fontId="0" fillId="0" borderId="0" xfId="0"/>
    <xf numFmtId="0" fontId="2" fillId="0" borderId="0" xfId="0" applyFont="1" applyAlignment="1" applyProtection="1">
      <alignment horizontal="left" vertic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2" fillId="0" borderId="0" xfId="0" applyFont="1" applyAlignment="1" applyProtection="1">
      <alignment horizontal="right" vertical="center"/>
      <protection hidden="1"/>
    </xf>
    <xf numFmtId="0" fontId="2" fillId="0" borderId="2" xfId="0" applyFont="1" applyBorder="1" applyAlignment="1" applyProtection="1">
      <alignment horizontal="center" vertical="center"/>
      <protection locked="0" hidden="1"/>
    </xf>
    <xf numFmtId="0" fontId="2" fillId="0" borderId="2" xfId="0" applyFont="1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alignment vertical="center" wrapText="1"/>
      <protection hidden="1"/>
    </xf>
    <xf numFmtId="0" fontId="2" fillId="0" borderId="0" xfId="0" applyFont="1" applyAlignment="1" applyProtection="1">
      <alignment horizontal="left" vertical="center"/>
      <protection locked="0" hidden="1"/>
    </xf>
    <xf numFmtId="3" fontId="2" fillId="0" borderId="2" xfId="0" applyNumberFormat="1" applyFont="1" applyBorder="1" applyAlignment="1" applyProtection="1">
      <alignment horizontal="center" vertical="center"/>
      <protection locked="0" hidden="1"/>
    </xf>
    <xf numFmtId="0" fontId="4" fillId="0" borderId="0" xfId="0" applyFont="1" applyAlignment="1" applyProtection="1">
      <alignment vertical="center"/>
      <protection hidden="1"/>
    </xf>
    <xf numFmtId="9" fontId="2" fillId="0" borderId="2" xfId="1" applyFont="1" applyFill="1" applyBorder="1" applyAlignment="1" applyProtection="1">
      <alignment horizontal="center" vertical="top"/>
      <protection locked="0" hidden="1"/>
    </xf>
    <xf numFmtId="0" fontId="5" fillId="2" borderId="12" xfId="0" applyFont="1" applyFill="1" applyBorder="1" applyAlignment="1" applyProtection="1">
      <alignment horizontal="center" vertical="top" wrapText="1"/>
      <protection hidden="1"/>
    </xf>
    <xf numFmtId="0" fontId="5" fillId="2" borderId="0" xfId="0" applyFont="1" applyFill="1" applyAlignment="1" applyProtection="1">
      <alignment horizontal="center" vertical="top" wrapText="1"/>
      <protection hidden="1"/>
    </xf>
    <xf numFmtId="0" fontId="5" fillId="2" borderId="13" xfId="0" applyFont="1" applyFill="1" applyBorder="1" applyAlignment="1" applyProtection="1">
      <alignment horizontal="center" vertical="center" wrapText="1"/>
      <protection hidden="1"/>
    </xf>
    <xf numFmtId="0" fontId="5" fillId="2" borderId="11" xfId="0" applyFont="1" applyFill="1" applyBorder="1" applyAlignment="1" applyProtection="1">
      <alignment horizontal="center" vertical="center" wrapText="1"/>
      <protection hidden="1"/>
    </xf>
    <xf numFmtId="0" fontId="5" fillId="2" borderId="14" xfId="0" applyFont="1" applyFill="1" applyBorder="1" applyAlignment="1" applyProtection="1">
      <alignment horizontal="center" vertical="center" wrapText="1"/>
      <protection hidden="1"/>
    </xf>
    <xf numFmtId="0" fontId="6" fillId="3" borderId="13" xfId="0" applyFont="1" applyFill="1" applyBorder="1" applyAlignment="1" applyProtection="1">
      <alignment horizontal="center" vertical="center" wrapText="1"/>
      <protection hidden="1"/>
    </xf>
    <xf numFmtId="0" fontId="6" fillId="3" borderId="11" xfId="0" applyFont="1" applyFill="1" applyBorder="1" applyAlignment="1" applyProtection="1">
      <alignment horizontal="center" vertical="center" wrapText="1"/>
      <protection hidden="1"/>
    </xf>
    <xf numFmtId="0" fontId="6" fillId="3" borderId="14" xfId="0" applyFont="1" applyFill="1" applyBorder="1" applyAlignment="1" applyProtection="1">
      <alignment horizontal="center" vertical="center" wrapText="1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6" fillId="3" borderId="15" xfId="0" applyFont="1" applyFill="1" applyBorder="1" applyAlignment="1" applyProtection="1">
      <alignment horizontal="center" vertical="center" wrapText="1"/>
      <protection hidden="1"/>
    </xf>
    <xf numFmtId="0" fontId="6" fillId="3" borderId="2" xfId="0" applyFont="1" applyFill="1" applyBorder="1" applyAlignment="1" applyProtection="1">
      <alignment horizontal="center" vertical="center" wrapText="1"/>
      <protection hidden="1"/>
    </xf>
    <xf numFmtId="0" fontId="6" fillId="3" borderId="16" xfId="0" applyFont="1" applyFill="1" applyBorder="1" applyAlignment="1" applyProtection="1">
      <alignment horizontal="center" vertical="center" wrapText="1"/>
      <protection hidden="1"/>
    </xf>
    <xf numFmtId="0" fontId="5" fillId="2" borderId="1" xfId="0" applyFont="1" applyFill="1" applyBorder="1" applyAlignment="1" applyProtection="1">
      <alignment horizontal="center" vertical="top"/>
      <protection hidden="1"/>
    </xf>
    <xf numFmtId="0" fontId="2" fillId="2" borderId="17" xfId="0" applyFont="1" applyFill="1" applyBorder="1" applyAlignment="1" applyProtection="1">
      <alignment horizontal="center" vertical="center" wrapText="1"/>
      <protection hidden="1"/>
    </xf>
    <xf numFmtId="0" fontId="2" fillId="2" borderId="18" xfId="0" applyFont="1" applyFill="1" applyBorder="1" applyAlignment="1" applyProtection="1">
      <alignment horizontal="center" vertical="center" wrapText="1"/>
      <protection hidden="1"/>
    </xf>
    <xf numFmtId="0" fontId="2" fillId="2" borderId="19" xfId="0" applyFont="1" applyFill="1" applyBorder="1" applyAlignment="1" applyProtection="1">
      <alignment horizontal="center" vertical="center" wrapText="1"/>
      <protection hidden="1"/>
    </xf>
    <xf numFmtId="0" fontId="6" fillId="3" borderId="20" xfId="0" applyFont="1" applyFill="1" applyBorder="1" applyAlignment="1" applyProtection="1">
      <alignment horizontal="center" vertical="center" wrapText="1"/>
      <protection hidden="1"/>
    </xf>
    <xf numFmtId="0" fontId="6" fillId="3" borderId="0" xfId="0" applyFont="1" applyFill="1" applyAlignment="1" applyProtection="1">
      <alignment horizontal="center" vertical="center" wrapText="1"/>
      <protection hidden="1"/>
    </xf>
    <xf numFmtId="0" fontId="6" fillId="3" borderId="21" xfId="0" applyFont="1" applyFill="1" applyBorder="1" applyAlignment="1" applyProtection="1">
      <alignment horizontal="center" vertical="center" wrapText="1"/>
      <protection hidden="1"/>
    </xf>
    <xf numFmtId="0" fontId="2" fillId="0" borderId="6" xfId="0" applyFont="1" applyBorder="1" applyAlignment="1" applyProtection="1">
      <alignment horizontal="left" vertical="center" wrapText="1"/>
      <protection hidden="1"/>
    </xf>
    <xf numFmtId="0" fontId="2" fillId="0" borderId="23" xfId="0" applyFont="1" applyBorder="1" applyAlignment="1" applyProtection="1">
      <alignment horizontal="center" vertical="center" wrapText="1"/>
      <protection hidden="1"/>
    </xf>
    <xf numFmtId="3" fontId="2" fillId="0" borderId="5" xfId="0" applyNumberFormat="1" applyFont="1" applyBorder="1" applyAlignment="1" applyProtection="1">
      <alignment horizontal="right" vertical="center"/>
      <protection hidden="1"/>
    </xf>
    <xf numFmtId="3" fontId="2" fillId="0" borderId="6" xfId="0" applyNumberFormat="1" applyFont="1" applyBorder="1" applyAlignment="1" applyProtection="1">
      <alignment horizontal="right" vertical="center"/>
      <protection hidden="1"/>
    </xf>
    <xf numFmtId="3" fontId="2" fillId="0" borderId="7" xfId="0" applyNumberFormat="1" applyFont="1" applyBorder="1" applyAlignment="1" applyProtection="1">
      <alignment horizontal="right" vertical="center"/>
      <protection hidden="1"/>
    </xf>
    <xf numFmtId="3" fontId="2" fillId="0" borderId="0" xfId="0" applyNumberFormat="1" applyFont="1" applyAlignment="1" applyProtection="1">
      <alignment horizontal="left" vertical="center"/>
      <protection hidden="1"/>
    </xf>
    <xf numFmtId="3" fontId="2" fillId="0" borderId="8" xfId="0" applyNumberFormat="1" applyFont="1" applyBorder="1" applyAlignment="1" applyProtection="1">
      <alignment horizontal="center" vertical="center"/>
      <protection hidden="1"/>
    </xf>
    <xf numFmtId="3" fontId="8" fillId="0" borderId="8" xfId="0" applyNumberFormat="1" applyFont="1" applyBorder="1" applyAlignment="1" applyProtection="1">
      <alignment horizontal="right" vertical="center"/>
      <protection hidden="1"/>
    </xf>
    <xf numFmtId="3" fontId="8" fillId="0" borderId="9" xfId="0" applyNumberFormat="1" applyFont="1" applyBorder="1" applyAlignment="1" applyProtection="1">
      <alignment horizontal="right" vertical="center"/>
      <protection hidden="1"/>
    </xf>
    <xf numFmtId="3" fontId="8" fillId="0" borderId="10" xfId="0" applyNumberFormat="1" applyFont="1" applyBorder="1" applyAlignment="1" applyProtection="1">
      <alignment horizontal="right" vertical="center"/>
      <protection hidden="1"/>
    </xf>
    <xf numFmtId="3" fontId="2" fillId="0" borderId="0" xfId="0" applyNumberFormat="1" applyFont="1" applyAlignment="1" applyProtection="1">
      <alignment horizontal="right" vertical="center"/>
      <protection hidden="1"/>
    </xf>
    <xf numFmtId="3" fontId="8" fillId="0" borderId="20" xfId="0" applyNumberFormat="1" applyFont="1" applyBorder="1" applyAlignment="1" applyProtection="1">
      <alignment horizontal="right" vertical="center"/>
      <protection hidden="1"/>
    </xf>
    <xf numFmtId="3" fontId="8" fillId="0" borderId="0" xfId="0" applyNumberFormat="1" applyFont="1" applyAlignment="1" applyProtection="1">
      <alignment horizontal="right" vertical="center"/>
      <protection hidden="1"/>
    </xf>
    <xf numFmtId="3" fontId="8" fillId="0" borderId="21" xfId="0" applyNumberFormat="1" applyFont="1" applyBorder="1" applyAlignment="1" applyProtection="1">
      <alignment horizontal="right" vertical="center"/>
      <protection hidden="1"/>
    </xf>
    <xf numFmtId="0" fontId="2" fillId="0" borderId="2" xfId="0" applyFont="1" applyBorder="1" applyAlignment="1" applyProtection="1">
      <alignment horizontal="left" vertical="center" wrapText="1"/>
      <protection hidden="1"/>
    </xf>
    <xf numFmtId="0" fontId="2" fillId="0" borderId="25" xfId="0" applyFont="1" applyBorder="1" applyAlignment="1" applyProtection="1">
      <alignment horizontal="center" vertical="center" wrapText="1"/>
      <protection hidden="1"/>
    </xf>
    <xf numFmtId="3" fontId="2" fillId="0" borderId="15" xfId="0" applyNumberFormat="1" applyFont="1" applyBorder="1" applyAlignment="1" applyProtection="1">
      <alignment horizontal="right" vertical="center"/>
      <protection hidden="1"/>
    </xf>
    <xf numFmtId="3" fontId="2" fillId="0" borderId="2" xfId="0" applyNumberFormat="1" applyFont="1" applyBorder="1" applyAlignment="1" applyProtection="1">
      <alignment horizontal="right" vertical="center"/>
      <protection hidden="1"/>
    </xf>
    <xf numFmtId="3" fontId="2" fillId="0" borderId="16" xfId="0" applyNumberFormat="1" applyFont="1" applyBorder="1" applyAlignment="1" applyProtection="1">
      <alignment horizontal="right" vertical="center"/>
      <protection hidden="1"/>
    </xf>
    <xf numFmtId="3" fontId="2" fillId="0" borderId="20" xfId="0" applyNumberFormat="1" applyFont="1" applyBorder="1" applyAlignment="1" applyProtection="1">
      <alignment horizontal="center" vertical="center"/>
      <protection hidden="1"/>
    </xf>
    <xf numFmtId="3" fontId="2" fillId="0" borderId="28" xfId="0" applyNumberFormat="1" applyFont="1" applyBorder="1" applyAlignment="1" applyProtection="1">
      <alignment horizontal="center" vertical="center"/>
      <protection hidden="1"/>
    </xf>
    <xf numFmtId="3" fontId="8" fillId="0" borderId="28" xfId="0" applyNumberFormat="1" applyFont="1" applyBorder="1" applyAlignment="1" applyProtection="1">
      <alignment horizontal="right" vertical="center"/>
      <protection hidden="1"/>
    </xf>
    <xf numFmtId="3" fontId="8" fillId="0" borderId="29" xfId="0" applyNumberFormat="1" applyFont="1" applyBorder="1" applyAlignment="1" applyProtection="1">
      <alignment horizontal="right" vertical="center"/>
      <protection hidden="1"/>
    </xf>
    <xf numFmtId="3" fontId="8" fillId="0" borderId="30" xfId="0" applyNumberFormat="1" applyFont="1" applyBorder="1" applyAlignment="1" applyProtection="1">
      <alignment horizontal="right" vertical="center"/>
      <protection hidden="1"/>
    </xf>
    <xf numFmtId="3" fontId="2" fillId="0" borderId="8" xfId="0" applyNumberFormat="1" applyFont="1" applyBorder="1" applyAlignment="1" applyProtection="1">
      <alignment horizontal="right" vertical="center"/>
      <protection hidden="1"/>
    </xf>
    <xf numFmtId="3" fontId="2" fillId="0" borderId="9" xfId="0" applyNumberFormat="1" applyFont="1" applyBorder="1" applyAlignment="1" applyProtection="1">
      <alignment horizontal="right" vertical="center"/>
      <protection hidden="1"/>
    </xf>
    <xf numFmtId="3" fontId="2" fillId="0" borderId="10" xfId="0" applyNumberFormat="1" applyFont="1" applyBorder="1" applyAlignment="1" applyProtection="1">
      <alignment horizontal="right" vertical="center"/>
      <protection hidden="1"/>
    </xf>
    <xf numFmtId="0" fontId="2" fillId="0" borderId="32" xfId="0" applyFont="1" applyBorder="1" applyAlignment="1" applyProtection="1">
      <alignment horizontal="left" vertical="center" wrapText="1"/>
      <protection hidden="1"/>
    </xf>
    <xf numFmtId="0" fontId="2" fillId="0" borderId="33" xfId="0" applyFont="1" applyBorder="1" applyAlignment="1" applyProtection="1">
      <alignment horizontal="center" vertical="center" wrapText="1"/>
      <protection hidden="1"/>
    </xf>
    <xf numFmtId="164" fontId="2" fillId="0" borderId="34" xfId="0" applyNumberFormat="1" applyFont="1" applyBorder="1" applyAlignment="1" applyProtection="1">
      <alignment horizontal="right" vertical="center"/>
      <protection hidden="1"/>
    </xf>
    <xf numFmtId="164" fontId="2" fillId="0" borderId="32" xfId="0" applyNumberFormat="1" applyFont="1" applyBorder="1" applyAlignment="1" applyProtection="1">
      <alignment horizontal="right" vertical="center"/>
      <protection hidden="1"/>
    </xf>
    <xf numFmtId="164" fontId="2" fillId="0" borderId="35" xfId="0" applyNumberFormat="1" applyFont="1" applyBorder="1" applyAlignment="1" applyProtection="1">
      <alignment horizontal="right" vertical="center"/>
      <protection hidden="1"/>
    </xf>
    <xf numFmtId="3" fontId="2" fillId="0" borderId="20" xfId="0" applyNumberFormat="1" applyFont="1" applyBorder="1" applyAlignment="1" applyProtection="1">
      <alignment horizontal="right" vertical="center"/>
      <protection hidden="1"/>
    </xf>
    <xf numFmtId="3" fontId="2" fillId="0" borderId="21" xfId="0" applyNumberFormat="1" applyFont="1" applyBorder="1" applyAlignment="1" applyProtection="1">
      <alignment horizontal="right" vertical="center"/>
      <protection hidden="1"/>
    </xf>
    <xf numFmtId="0" fontId="2" fillId="0" borderId="0" xfId="0" applyFont="1" applyAlignment="1" applyProtection="1">
      <alignment horizontal="left" vertical="center" wrapText="1"/>
      <protection hidden="1"/>
    </xf>
    <xf numFmtId="0" fontId="2" fillId="0" borderId="0" xfId="0" applyFont="1" applyAlignment="1" applyProtection="1">
      <alignment horizontal="center" vertical="center" wrapText="1"/>
      <protection hidden="1"/>
    </xf>
    <xf numFmtId="165" fontId="2" fillId="0" borderId="0" xfId="1" applyNumberFormat="1" applyFont="1" applyAlignment="1" applyProtection="1">
      <alignment horizontal="right" vertical="center"/>
      <protection hidden="1"/>
    </xf>
    <xf numFmtId="0" fontId="2" fillId="0" borderId="0" xfId="0" applyFont="1" applyAlignment="1" applyProtection="1">
      <alignment vertical="center"/>
      <protection hidden="1"/>
    </xf>
    <xf numFmtId="0" fontId="2" fillId="0" borderId="0" xfId="0" applyFont="1" applyAlignment="1" applyProtection="1">
      <alignment horizontal="right" vertical="top"/>
      <protection hidden="1"/>
    </xf>
    <xf numFmtId="0" fontId="2" fillId="0" borderId="0" xfId="0" applyFont="1" applyAlignment="1" applyProtection="1">
      <alignment vertical="top"/>
      <protection hidden="1"/>
    </xf>
    <xf numFmtId="0" fontId="2" fillId="0" borderId="0" xfId="0" applyFont="1" applyAlignment="1" applyProtection="1">
      <alignment horizontal="right" vertical="center"/>
      <protection hidden="1"/>
    </xf>
    <xf numFmtId="0" fontId="2" fillId="0" borderId="1" xfId="0" applyFont="1" applyBorder="1" applyAlignment="1" applyProtection="1">
      <alignment horizontal="right" vertical="center"/>
      <protection hidden="1"/>
    </xf>
    <xf numFmtId="0" fontId="2" fillId="0" borderId="0" xfId="0" applyFont="1" applyAlignment="1" applyProtection="1">
      <alignment horizontal="left" vertical="center"/>
      <protection hidden="1"/>
    </xf>
    <xf numFmtId="0" fontId="9" fillId="0" borderId="0" xfId="0" applyFont="1" applyAlignment="1" applyProtection="1">
      <alignment horizontal="center" vertical="center" wrapText="1"/>
      <protection hidden="1"/>
    </xf>
    <xf numFmtId="0" fontId="2" fillId="0" borderId="8" xfId="0" applyFont="1" applyBorder="1" applyAlignment="1" applyProtection="1">
      <alignment horizontal="center" vertical="center"/>
      <protection hidden="1"/>
    </xf>
    <xf numFmtId="0" fontId="2" fillId="0" borderId="9" xfId="0" applyFont="1" applyBorder="1" applyAlignment="1" applyProtection="1">
      <alignment horizontal="center" vertical="center"/>
      <protection hidden="1"/>
    </xf>
    <xf numFmtId="0" fontId="2" fillId="0" borderId="10" xfId="0" applyFont="1" applyBorder="1" applyAlignment="1" applyProtection="1">
      <alignment horizontal="center" vertical="center"/>
      <protection hidden="1"/>
    </xf>
    <xf numFmtId="0" fontId="5" fillId="0" borderId="22" xfId="0" applyFont="1" applyBorder="1" applyAlignment="1" applyProtection="1">
      <alignment horizontal="left" vertical="top" wrapText="1"/>
      <protection hidden="1"/>
    </xf>
    <xf numFmtId="0" fontId="5" fillId="0" borderId="17" xfId="0" applyFont="1" applyBorder="1" applyAlignment="1" applyProtection="1">
      <alignment horizontal="left" vertical="top" wrapText="1"/>
      <protection hidden="1"/>
    </xf>
    <xf numFmtId="0" fontId="5" fillId="0" borderId="31" xfId="0" applyFont="1" applyBorder="1" applyAlignment="1" applyProtection="1">
      <alignment horizontal="left" vertical="top" wrapText="1"/>
      <protection hidden="1"/>
    </xf>
    <xf numFmtId="3" fontId="2" fillId="0" borderId="24" xfId="0" applyNumberFormat="1" applyFont="1" applyBorder="1" applyAlignment="1" applyProtection="1">
      <alignment horizontal="center" vertical="center"/>
      <protection hidden="1"/>
    </xf>
    <xf numFmtId="3" fontId="2" fillId="0" borderId="26" xfId="0" applyNumberFormat="1" applyFont="1" applyBorder="1" applyAlignment="1" applyProtection="1">
      <alignment horizontal="center" vertical="center"/>
      <protection hidden="1"/>
    </xf>
    <xf numFmtId="3" fontId="2" fillId="0" borderId="27" xfId="0" applyNumberFormat="1" applyFont="1" applyBorder="1" applyAlignment="1" applyProtection="1">
      <alignment horizontal="center" vertical="center"/>
      <protection hidden="1"/>
    </xf>
    <xf numFmtId="3" fontId="2" fillId="0" borderId="24" xfId="0" applyNumberFormat="1" applyFont="1" applyBorder="1" applyAlignment="1" applyProtection="1">
      <alignment horizontal="center" vertical="center" textRotation="90"/>
      <protection hidden="1"/>
    </xf>
    <xf numFmtId="3" fontId="2" fillId="0" borderId="26" xfId="0" applyNumberFormat="1" applyFont="1" applyBorder="1" applyAlignment="1" applyProtection="1">
      <alignment horizontal="center" vertical="center" textRotation="90"/>
      <protection hidden="1"/>
    </xf>
    <xf numFmtId="3" fontId="2" fillId="0" borderId="27" xfId="0" applyNumberFormat="1" applyFont="1" applyBorder="1" applyAlignment="1" applyProtection="1">
      <alignment horizontal="center" vertical="center" textRotation="90"/>
      <protection hidden="1"/>
    </xf>
    <xf numFmtId="0" fontId="5" fillId="2" borderId="2" xfId="0" applyFont="1" applyFill="1" applyBorder="1" applyAlignment="1" applyProtection="1">
      <alignment horizontal="center" vertical="top"/>
      <protection hidden="1"/>
    </xf>
    <xf numFmtId="0" fontId="5" fillId="2" borderId="11" xfId="0" applyFont="1" applyFill="1" applyBorder="1" applyAlignment="1" applyProtection="1">
      <alignment horizontal="center" vertical="top"/>
      <protection hidden="1"/>
    </xf>
    <xf numFmtId="0" fontId="5" fillId="2" borderId="3" xfId="0" applyFont="1" applyFill="1" applyBorder="1" applyAlignment="1" applyProtection="1">
      <alignment horizontal="center" vertical="top" wrapText="1"/>
      <protection hidden="1"/>
    </xf>
    <xf numFmtId="0" fontId="5" fillId="2" borderId="4" xfId="0" applyFont="1" applyFill="1" applyBorder="1" applyAlignment="1" applyProtection="1">
      <alignment horizontal="center" vertical="top" wrapText="1"/>
      <protection hidden="1"/>
    </xf>
    <xf numFmtId="0" fontId="5" fillId="2" borderId="12" xfId="0" applyFont="1" applyFill="1" applyBorder="1" applyAlignment="1" applyProtection="1">
      <alignment horizontal="center" vertical="top" wrapText="1"/>
      <protection hidden="1"/>
    </xf>
    <xf numFmtId="0" fontId="5" fillId="2" borderId="0" xfId="0" applyFont="1" applyFill="1" applyAlignment="1" applyProtection="1">
      <alignment horizontal="center" vertical="top" wrapText="1"/>
      <protection hidden="1"/>
    </xf>
    <xf numFmtId="0" fontId="5" fillId="2" borderId="5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</cellXfs>
  <cellStyles count="2">
    <cellStyle name="Įprastas" xfId="0" builtinId="0"/>
    <cellStyle name="Procentai" xfId="1" builtinId="5"/>
  </cellStyles>
  <dxfs count="8"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theme="0"/>
      </font>
      <fill>
        <patternFill patternType="solid">
          <bgColor theme="1"/>
        </patternFill>
      </fill>
    </dxf>
    <dxf>
      <fill>
        <patternFill>
          <bgColor rgb="FFE2F3FA"/>
        </patternFill>
      </fill>
    </dxf>
    <dxf>
      <fill>
        <patternFill>
          <bgColor rgb="FFFFDDDD"/>
        </patternFill>
      </fill>
    </dxf>
    <dxf>
      <fill>
        <patternFill>
          <bgColor rgb="FFB0DEF2"/>
        </patternFill>
      </fill>
    </dxf>
    <dxf>
      <fill>
        <patternFill>
          <bgColor rgb="FFFFBDBD"/>
        </patternFill>
      </fill>
    </dxf>
    <dxf>
      <fill>
        <patternFill>
          <bgColor rgb="FF8CD1EC"/>
        </patternFill>
      </fill>
    </dxf>
    <dxf>
      <fill>
        <patternFill>
          <fgColor auto="1"/>
          <bgColor rgb="FFFF9F9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39001</xdr:colOff>
      <xdr:row>1</xdr:row>
      <xdr:rowOff>34139</xdr:rowOff>
    </xdr:from>
    <xdr:to>
      <xdr:col>2</xdr:col>
      <xdr:colOff>1579489</xdr:colOff>
      <xdr:row>9</xdr:row>
      <xdr:rowOff>97214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2E231E3-83D9-49D2-BE38-B06F3B19283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6631" r="557"/>
        <a:stretch/>
      </xdr:blipFill>
      <xdr:spPr>
        <a:xfrm>
          <a:off x="640981" y="262739"/>
          <a:ext cx="2566194" cy="1891875"/>
        </a:xfrm>
        <a:prstGeom prst="rect">
          <a:avLst/>
        </a:prstGeom>
      </xdr:spPr>
    </xdr:pic>
    <xdr:clientData/>
  </xdr:twoCellAnchor>
  <xdr:twoCellAnchor>
    <xdr:from>
      <xdr:col>4</xdr:col>
      <xdr:colOff>381000</xdr:colOff>
      <xdr:row>1</xdr:row>
      <xdr:rowOff>4332</xdr:rowOff>
    </xdr:from>
    <xdr:to>
      <xdr:col>9</xdr:col>
      <xdr:colOff>160020</xdr:colOff>
      <xdr:row>3</xdr:row>
      <xdr:rowOff>127000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E6A3C1C-2EDA-4C97-8151-30B1D3AEE336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267200" y="232932"/>
          <a:ext cx="3246120" cy="5798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0E89A9-0DCF-4E9B-8A03-E0181D312CBF}">
  <dimension ref="B2:BD32"/>
  <sheetViews>
    <sheetView showGridLines="0" showZeros="0" tabSelected="1" zoomScale="80" zoomScaleNormal="80" zoomScaleSheetLayoutView="70" workbookViewId="0">
      <selection activeCell="B11" sqref="B11:B12"/>
    </sheetView>
  </sheetViews>
  <sheetFormatPr defaultColWidth="8.83203125" defaultRowHeight="18" customHeight="1" x14ac:dyDescent="0.2"/>
  <cols>
    <col min="1" max="1" width="8.83203125" style="1"/>
    <col min="2" max="2" width="12" style="1" customWidth="1"/>
    <col min="3" max="3" width="29.1640625" style="1" bestFit="1" customWidth="1"/>
    <col min="4" max="4" width="8.5" style="2" bestFit="1" customWidth="1"/>
    <col min="5" max="5" width="10.1640625" style="3" customWidth="1"/>
    <col min="6" max="6" width="10.1640625" style="1" customWidth="1"/>
    <col min="7" max="9" width="10.83203125" style="1" customWidth="1"/>
    <col min="10" max="11" width="10.1640625" style="1" customWidth="1"/>
    <col min="12" max="14" width="10.83203125" style="1" customWidth="1"/>
    <col min="15" max="32" width="8.83203125" style="1" customWidth="1"/>
    <col min="33" max="33" width="3.83203125" style="1" hidden="1" customWidth="1"/>
    <col min="34" max="35" width="3.83203125" style="2" hidden="1" customWidth="1"/>
    <col min="36" max="37" width="7" style="1" hidden="1" customWidth="1"/>
    <col min="38" max="40" width="8" style="1" hidden="1" customWidth="1"/>
    <col min="41" max="42" width="7" style="1" hidden="1" customWidth="1"/>
    <col min="43" max="45" width="8" style="1" hidden="1" customWidth="1"/>
    <col min="46" max="46" width="2.83203125" style="1" hidden="1" customWidth="1"/>
    <col min="47" max="48" width="7" style="1" hidden="1" customWidth="1"/>
    <col min="49" max="51" width="8" style="1" hidden="1" customWidth="1"/>
    <col min="52" max="53" width="7" style="1" hidden="1" customWidth="1"/>
    <col min="54" max="56" width="8" style="1" hidden="1" customWidth="1"/>
    <col min="57" max="71" width="10.1640625" style="1" customWidth="1"/>
    <col min="72" max="16384" width="8.83203125" style="1"/>
  </cols>
  <sheetData>
    <row r="2" spans="2:56" ht="18" customHeight="1" x14ac:dyDescent="0.2">
      <c r="E2" s="1"/>
      <c r="L2" s="67"/>
      <c r="M2" s="3" t="s">
        <v>46</v>
      </c>
      <c r="N2" s="4">
        <v>7</v>
      </c>
      <c r="AJ2" s="70" t="s">
        <v>0</v>
      </c>
      <c r="AK2" s="70"/>
      <c r="AL2" s="70"/>
      <c r="AM2" s="5">
        <f>N2-N3</f>
        <v>-5</v>
      </c>
    </row>
    <row r="3" spans="2:56" ht="18" customHeight="1" x14ac:dyDescent="0.2">
      <c r="E3" s="1"/>
      <c r="K3" s="67"/>
      <c r="L3" s="67"/>
      <c r="M3" s="3" t="s">
        <v>47</v>
      </c>
      <c r="N3" s="4">
        <v>12</v>
      </c>
      <c r="AK3" s="70" t="s">
        <v>1</v>
      </c>
      <c r="AL3" s="71"/>
      <c r="AM3" s="5">
        <f>IF((N4-(N3+N2)/2)&lt;0, 0-(N4-(N3+N2)/2),(N4-(N3+N2)/2))</f>
        <v>17.5</v>
      </c>
    </row>
    <row r="4" spans="2:56" ht="18" customHeight="1" x14ac:dyDescent="0.2">
      <c r="E4" s="1"/>
      <c r="L4" s="67"/>
      <c r="M4" s="3" t="s">
        <v>31</v>
      </c>
      <c r="N4" s="4">
        <v>27</v>
      </c>
    </row>
    <row r="5" spans="2:56" ht="18" customHeight="1" x14ac:dyDescent="0.2">
      <c r="E5" s="73" t="s">
        <v>45</v>
      </c>
      <c r="F5" s="73"/>
      <c r="G5" s="73"/>
      <c r="H5" s="73"/>
      <c r="I5" s="73"/>
      <c r="J5" s="73"/>
      <c r="K5" s="72"/>
      <c r="L5" s="72"/>
      <c r="M5" s="72"/>
      <c r="N5" s="7"/>
    </row>
    <row r="6" spans="2:56" ht="18" customHeight="1" x14ac:dyDescent="0.2">
      <c r="D6" s="6"/>
      <c r="E6" s="73"/>
      <c r="F6" s="73"/>
      <c r="G6" s="73"/>
      <c r="H6" s="73"/>
      <c r="I6" s="73"/>
      <c r="J6" s="73"/>
      <c r="M6" s="3" t="s">
        <v>32</v>
      </c>
      <c r="N6" s="8">
        <v>12</v>
      </c>
    </row>
    <row r="7" spans="2:56" ht="18" customHeight="1" x14ac:dyDescent="0.2">
      <c r="D7" s="6"/>
      <c r="E7" s="73"/>
      <c r="F7" s="73"/>
      <c r="G7" s="73"/>
      <c r="H7" s="73"/>
      <c r="I7" s="73"/>
      <c r="J7" s="73"/>
      <c r="L7" s="67"/>
      <c r="M7" s="3" t="s">
        <v>33</v>
      </c>
      <c r="N7" s="8">
        <v>1800</v>
      </c>
    </row>
    <row r="8" spans="2:56" ht="18" customHeight="1" x14ac:dyDescent="0.2">
      <c r="E8" s="9"/>
      <c r="F8" s="9"/>
      <c r="G8" s="9"/>
      <c r="H8" s="9"/>
      <c r="I8" s="9"/>
      <c r="J8" s="9"/>
      <c r="L8" s="69"/>
      <c r="M8" s="68" t="s">
        <v>34</v>
      </c>
      <c r="N8" s="10">
        <v>0.1</v>
      </c>
      <c r="AJ8" s="3">
        <f>IF(N7*(1-$N$9)=0,0.00001,N7*(1-$N$9))</f>
        <v>1764</v>
      </c>
      <c r="AK8" s="3">
        <f>IF(N7*(1+$N$8)=0,0.00001,N7*(1+$N$8))</f>
        <v>1980.0000000000002</v>
      </c>
    </row>
    <row r="9" spans="2:56" ht="18" customHeight="1" x14ac:dyDescent="0.2">
      <c r="E9" s="9"/>
      <c r="F9" s="9"/>
      <c r="G9" s="9"/>
      <c r="H9" s="9"/>
      <c r="I9" s="9"/>
      <c r="J9" s="9"/>
      <c r="L9" s="69"/>
      <c r="M9" s="68" t="s">
        <v>35</v>
      </c>
      <c r="N9" s="10">
        <v>0.02</v>
      </c>
      <c r="AJ9" s="3"/>
      <c r="AK9" s="3"/>
    </row>
    <row r="10" spans="2:56" ht="18" customHeight="1" thickBot="1" x14ac:dyDescent="0.25">
      <c r="D10" s="1"/>
      <c r="E10" s="1"/>
    </row>
    <row r="11" spans="2:56" ht="18" customHeight="1" x14ac:dyDescent="0.2">
      <c r="B11" s="86" t="s">
        <v>36</v>
      </c>
      <c r="C11" s="88" t="s">
        <v>40</v>
      </c>
      <c r="D11" s="89"/>
      <c r="E11" s="92" t="s">
        <v>48</v>
      </c>
      <c r="F11" s="93"/>
      <c r="G11" s="93"/>
      <c r="H11" s="93"/>
      <c r="I11" s="94"/>
      <c r="J11" s="92" t="s">
        <v>41</v>
      </c>
      <c r="K11" s="93"/>
      <c r="L11" s="93"/>
      <c r="M11" s="93"/>
      <c r="N11" s="94"/>
      <c r="AJ11" s="74" t="s">
        <v>2</v>
      </c>
      <c r="AK11" s="75"/>
      <c r="AL11" s="75"/>
      <c r="AM11" s="75"/>
      <c r="AN11" s="76"/>
      <c r="AO11" s="74" t="s">
        <v>3</v>
      </c>
      <c r="AP11" s="75"/>
      <c r="AQ11" s="75"/>
      <c r="AR11" s="75"/>
      <c r="AS11" s="76"/>
      <c r="AU11" s="74" t="s">
        <v>4</v>
      </c>
      <c r="AV11" s="75"/>
      <c r="AW11" s="75"/>
      <c r="AX11" s="75"/>
      <c r="AY11" s="76"/>
      <c r="AZ11" s="74" t="s">
        <v>5</v>
      </c>
      <c r="BA11" s="75"/>
      <c r="BB11" s="75"/>
      <c r="BC11" s="75"/>
      <c r="BD11" s="76"/>
    </row>
    <row r="12" spans="2:56" s="2" customFormat="1" ht="18" customHeight="1" thickBot="1" x14ac:dyDescent="0.25">
      <c r="B12" s="87"/>
      <c r="C12" s="90"/>
      <c r="D12" s="91"/>
      <c r="E12" s="13" t="s">
        <v>6</v>
      </c>
      <c r="F12" s="14" t="s">
        <v>7</v>
      </c>
      <c r="G12" s="14" t="s">
        <v>8</v>
      </c>
      <c r="H12" s="14" t="s">
        <v>9</v>
      </c>
      <c r="I12" s="15" t="s">
        <v>10</v>
      </c>
      <c r="J12" s="13" t="s">
        <v>11</v>
      </c>
      <c r="K12" s="14" t="s">
        <v>12</v>
      </c>
      <c r="L12" s="14" t="s">
        <v>13</v>
      </c>
      <c r="M12" s="14" t="s">
        <v>14</v>
      </c>
      <c r="N12" s="15" t="s">
        <v>15</v>
      </c>
      <c r="AI12" s="2" t="s">
        <v>16</v>
      </c>
      <c r="AJ12" s="16" t="s">
        <v>17</v>
      </c>
      <c r="AK12" s="17" t="s">
        <v>18</v>
      </c>
      <c r="AL12" s="17" t="s">
        <v>19</v>
      </c>
      <c r="AM12" s="17" t="s">
        <v>20</v>
      </c>
      <c r="AN12" s="18" t="s">
        <v>21</v>
      </c>
      <c r="AO12" s="16" t="s">
        <v>11</v>
      </c>
      <c r="AP12" s="17" t="s">
        <v>12</v>
      </c>
      <c r="AQ12" s="17" t="s">
        <v>13</v>
      </c>
      <c r="AR12" s="17" t="s">
        <v>14</v>
      </c>
      <c r="AS12" s="18" t="s">
        <v>15</v>
      </c>
      <c r="AT12" s="19"/>
      <c r="AU12" s="20" t="s">
        <v>17</v>
      </c>
      <c r="AV12" s="21" t="s">
        <v>18</v>
      </c>
      <c r="AW12" s="21" t="s">
        <v>19</v>
      </c>
      <c r="AX12" s="21" t="s">
        <v>20</v>
      </c>
      <c r="AY12" s="22" t="s">
        <v>21</v>
      </c>
      <c r="AZ12" s="20" t="s">
        <v>11</v>
      </c>
      <c r="BA12" s="21" t="s">
        <v>12</v>
      </c>
      <c r="BB12" s="21" t="s">
        <v>13</v>
      </c>
      <c r="BC12" s="21" t="s">
        <v>14</v>
      </c>
      <c r="BD12" s="22" t="s">
        <v>15</v>
      </c>
    </row>
    <row r="13" spans="2:56" s="2" customFormat="1" ht="18" hidden="1" customHeight="1" x14ac:dyDescent="0.2">
      <c r="B13" s="23"/>
      <c r="C13" s="11"/>
      <c r="D13" s="12"/>
      <c r="E13" s="24">
        <v>2</v>
      </c>
      <c r="F13" s="25">
        <v>3</v>
      </c>
      <c r="G13" s="25">
        <v>4</v>
      </c>
      <c r="H13" s="25">
        <v>5</v>
      </c>
      <c r="I13" s="26">
        <v>6</v>
      </c>
      <c r="J13" s="24">
        <v>7</v>
      </c>
      <c r="K13" s="25">
        <v>8</v>
      </c>
      <c r="L13" s="25">
        <v>9</v>
      </c>
      <c r="M13" s="25">
        <v>10</v>
      </c>
      <c r="N13" s="26">
        <v>11</v>
      </c>
      <c r="AJ13" s="27"/>
      <c r="AK13" s="28"/>
      <c r="AL13" s="28"/>
      <c r="AM13" s="28"/>
      <c r="AN13" s="29"/>
      <c r="AO13" s="27"/>
      <c r="AP13" s="28"/>
      <c r="AQ13" s="28"/>
      <c r="AR13" s="28"/>
      <c r="AS13" s="29"/>
      <c r="AT13" s="19"/>
      <c r="AU13" s="27"/>
      <c r="AV13" s="28"/>
      <c r="AW13" s="28"/>
      <c r="AX13" s="28"/>
      <c r="AY13" s="29"/>
      <c r="AZ13" s="27"/>
      <c r="BA13" s="28"/>
      <c r="BB13" s="28"/>
      <c r="BC13" s="28"/>
      <c r="BD13" s="29"/>
    </row>
    <row r="14" spans="2:56" ht="18" customHeight="1" x14ac:dyDescent="0.2">
      <c r="B14" s="77" t="s">
        <v>38</v>
      </c>
      <c r="C14" s="30" t="str">
        <f>IF($N$2&lt;$N$3,"Bendra vėsinimo galia","Šildymo galia")</f>
        <v>Bendra vėsinimo galia</v>
      </c>
      <c r="D14" s="31" t="str">
        <f>IF(C14=0,0,"W")</f>
        <v>W</v>
      </c>
      <c r="E14" s="32">
        <f t="shared" ref="E14:N14" si="0">IF($AM$2&lt;0,VLOOKUP($N$6,$AI$14:$AS$16,E$13,FALSE),VLOOKUP($N$6,$AI$14:$BD$16,E$13+11,FALSE))</f>
        <v>3469.0000013374997</v>
      </c>
      <c r="F14" s="33">
        <f t="shared" si="0"/>
        <v>4221</v>
      </c>
      <c r="G14" s="33">
        <f t="shared" si="0"/>
        <v>6041</v>
      </c>
      <c r="H14" s="33">
        <f t="shared" si="0"/>
        <v>8523.0000013374993</v>
      </c>
      <c r="I14" s="34">
        <f t="shared" si="0"/>
        <v>11797.999998662501</v>
      </c>
      <c r="J14" s="32">
        <f t="shared" si="0"/>
        <v>3469.0862499999998</v>
      </c>
      <c r="K14" s="33">
        <f t="shared" si="0"/>
        <v>4221.0481249999993</v>
      </c>
      <c r="L14" s="33">
        <f t="shared" si="0"/>
        <v>6040.9518749999997</v>
      </c>
      <c r="M14" s="33">
        <f t="shared" si="0"/>
        <v>8523.0381249999991</v>
      </c>
      <c r="N14" s="34">
        <f t="shared" si="0"/>
        <v>11797.975</v>
      </c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80" t="s">
        <v>22</v>
      </c>
      <c r="AH14" s="83" t="s">
        <v>23</v>
      </c>
      <c r="AI14" s="36">
        <v>12</v>
      </c>
      <c r="AJ14" s="37">
        <f>12.01371429*AM3^2 - 12.01142857*AM3</f>
        <v>3469.0000013374997</v>
      </c>
      <c r="AK14" s="38">
        <f>14.608*AM3^2-14.44*AM3</f>
        <v>4221</v>
      </c>
      <c r="AL14" s="38">
        <f>20.976*AM3^2-21.88*AM3</f>
        <v>6041</v>
      </c>
      <c r="AM14" s="38">
        <f>29.53371429*AM3^2-29.81142857*AM3</f>
        <v>8523.0000013374993</v>
      </c>
      <c r="AN14" s="39">
        <f>40.45028571*AM3^2-33.70857143*AM3</f>
        <v>11797.999998662501</v>
      </c>
      <c r="AO14" s="37">
        <f>-3.2038*AM3^2+254.3*AM3</f>
        <v>3469.0862499999998</v>
      </c>
      <c r="AP14" s="38">
        <f>-3.9067*AM3^2+309.57*AM3</f>
        <v>4221.0481249999993</v>
      </c>
      <c r="AQ14" s="38">
        <f>-5.5333*AM3^2+442.03*AM3</f>
        <v>6040.9518749999997</v>
      </c>
      <c r="AR14" s="38">
        <f>-7.8571*AM3^2+624.53*AM3</f>
        <v>8523.0381249999991</v>
      </c>
      <c r="AS14" s="39">
        <f>-11.236*AM3^2+870.8*AM3</f>
        <v>11797.975</v>
      </c>
      <c r="AT14" s="40"/>
      <c r="AU14" s="41">
        <f>0.875555555*AM3^2+136.25555555*AM3</f>
        <v>2652.6111108437499</v>
      </c>
      <c r="AV14" s="42">
        <f>1.425777777*AM3^2+166.0977777777*AM3</f>
        <v>3343.3555553160004</v>
      </c>
      <c r="AW14" s="42">
        <f>1.928*AM3^2+236.62*AM3</f>
        <v>4731.3</v>
      </c>
      <c r="AX14" s="42">
        <f>2.335111111*AM3^2+332.571111111*AM3</f>
        <v>6535.1222221862499</v>
      </c>
      <c r="AY14" s="43">
        <f>3.3368888888*AM3^2+456.60888888888*AM3</f>
        <v>9012.5777777504009</v>
      </c>
      <c r="AZ14" s="41">
        <f>1.168*AM3^2+59.72*AM3</f>
        <v>1402.8</v>
      </c>
      <c r="BA14" s="42">
        <f>1.2862*AM3^2+78.082*AM3</f>
        <v>1760.33375</v>
      </c>
      <c r="BB14" s="42">
        <f>1.4044*AM3^2+118.04*AM3</f>
        <v>2495.7975000000001</v>
      </c>
      <c r="BC14" s="42">
        <f>2.0356*AM3^2+160.96*AM3</f>
        <v>3440.2025000000003</v>
      </c>
      <c r="BD14" s="43">
        <f>2.3209*AM3^2+219.07*AM3</f>
        <v>4544.5006249999997</v>
      </c>
    </row>
    <row r="15" spans="2:56" ht="18" customHeight="1" x14ac:dyDescent="0.2">
      <c r="B15" s="78"/>
      <c r="C15" s="44" t="str">
        <f>IF($N$2&lt;$N$3,"Jutiminė vėsinimo galia",0)</f>
        <v>Jutiminė vėsinimo galia</v>
      </c>
      <c r="D15" s="45" t="s">
        <v>24</v>
      </c>
      <c r="E15" s="46">
        <f t="shared" ref="E15:N15" si="1">IF($AM$2&lt;0,E14*0.7,0)</f>
        <v>2428.3000009362495</v>
      </c>
      <c r="F15" s="47">
        <f t="shared" si="1"/>
        <v>2954.7</v>
      </c>
      <c r="G15" s="47">
        <f t="shared" si="1"/>
        <v>4228.7</v>
      </c>
      <c r="H15" s="47">
        <f t="shared" si="1"/>
        <v>5966.1000009362488</v>
      </c>
      <c r="I15" s="48">
        <f t="shared" si="1"/>
        <v>8258.5999990637501</v>
      </c>
      <c r="J15" s="46">
        <f t="shared" si="1"/>
        <v>2428.3603749999997</v>
      </c>
      <c r="K15" s="47">
        <f t="shared" si="1"/>
        <v>2954.7336874999992</v>
      </c>
      <c r="L15" s="47">
        <f t="shared" si="1"/>
        <v>4228.6663124999995</v>
      </c>
      <c r="M15" s="47">
        <f t="shared" si="1"/>
        <v>5966.1266874999992</v>
      </c>
      <c r="N15" s="48">
        <f t="shared" si="1"/>
        <v>8258.5825000000004</v>
      </c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81"/>
      <c r="AH15" s="84"/>
      <c r="AI15" s="49">
        <v>30</v>
      </c>
      <c r="AJ15" s="41">
        <f>11.218286*AM3^2-8.148571*AM3</f>
        <v>3293.0000950000003</v>
      </c>
      <c r="AK15" s="42">
        <f>13.570286*AM3^2-10.508571*AM3</f>
        <v>3972.0000950000003</v>
      </c>
      <c r="AL15" s="42">
        <f>20.258286*AM3^2-22.348571*AM3</f>
        <v>5813.0000949999994</v>
      </c>
      <c r="AM15" s="42">
        <f>28.054857*AM3^2-27.645714*AM3</f>
        <v>8107.9999612499987</v>
      </c>
      <c r="AN15" s="43">
        <f>38.729143*AM3^2-29.074286*AM3</f>
        <v>11352.00003875</v>
      </c>
      <c r="AO15" s="41">
        <f>-3.1962*AM3^2+244.1*AM3</f>
        <v>3292.9137499999997</v>
      </c>
      <c r="AP15" s="42">
        <f>-3.8229*AM3^2+293.87*AM3</f>
        <v>3971.9618750000004</v>
      </c>
      <c r="AQ15" s="42">
        <f>-5.2629*AM3^2+424.27*AM3</f>
        <v>5812.9618749999991</v>
      </c>
      <c r="AR15" s="42">
        <f>-7.5086*AM3^2+594.71*AM3</f>
        <v>8107.9162500000011</v>
      </c>
      <c r="AS15" s="43">
        <f>-10.971*AM3^2+840.69*AM3</f>
        <v>11352.206250000001</v>
      </c>
      <c r="AT15" s="40"/>
      <c r="AU15" s="41">
        <f>0.797333*AM3^2+130.193333*AM3</f>
        <v>2522.5665587499998</v>
      </c>
      <c r="AV15" s="42">
        <f>1.3253333*AM3^2+156.7133333*AM3</f>
        <v>3148.3666558749997</v>
      </c>
      <c r="AW15" s="42">
        <f>1.83555555*AM3^2+227.85555555*AM3</f>
        <v>4549.6111093125</v>
      </c>
      <c r="AX15" s="42">
        <f>2.184889*AM3^2+317.72888888*AM3</f>
        <v>6229.3778116499998</v>
      </c>
      <c r="AY15" s="43">
        <f>3.14044444*AM3^2+441.38444444*AM3</f>
        <v>8685.9888874499993</v>
      </c>
      <c r="AZ15" s="41">
        <f>1.1138*AM3^2+58.718*AM3</f>
        <v>1368.66625</v>
      </c>
      <c r="BA15" s="42">
        <f>1.16*AM3^2+71.5*AM3</f>
        <v>1606.5</v>
      </c>
      <c r="BB15" s="42">
        <f>1.272*AM3^2+108.58*AM3</f>
        <v>2289.6999999999998</v>
      </c>
      <c r="BC15" s="42">
        <f>1.8347*AM3^2+147.79*AM3</f>
        <v>3148.2018749999997</v>
      </c>
      <c r="BD15" s="43">
        <f>2.1369*AM3^2+201.61*AM3</f>
        <v>4182.600625</v>
      </c>
    </row>
    <row r="16" spans="2:56" ht="18" customHeight="1" thickBot="1" x14ac:dyDescent="0.25">
      <c r="B16" s="78"/>
      <c r="C16" s="44" t="s">
        <v>42</v>
      </c>
      <c r="D16" s="45" t="s">
        <v>25</v>
      </c>
      <c r="E16" s="46">
        <v>550</v>
      </c>
      <c r="F16" s="47">
        <v>735</v>
      </c>
      <c r="G16" s="47">
        <v>1075</v>
      </c>
      <c r="H16" s="47">
        <v>1450</v>
      </c>
      <c r="I16" s="48">
        <v>2150</v>
      </c>
      <c r="J16" s="46">
        <v>510</v>
      </c>
      <c r="K16" s="47">
        <v>680</v>
      </c>
      <c r="L16" s="47">
        <v>1020</v>
      </c>
      <c r="M16" s="47">
        <v>1360</v>
      </c>
      <c r="N16" s="48">
        <v>2040</v>
      </c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81"/>
      <c r="AH16" s="85"/>
      <c r="AI16" s="50">
        <v>50</v>
      </c>
      <c r="AJ16" s="51">
        <f>10.00685714*AM3^2-3.80571429*AM3</f>
        <v>2997.9999990499996</v>
      </c>
      <c r="AK16" s="52">
        <f>12.19428571*AM3^2-4.02857143*AM3</f>
        <v>3663.9999986625003</v>
      </c>
      <c r="AL16" s="52">
        <f>18.272*AM3^2-19.76*AM3</f>
        <v>5249.9999999999991</v>
      </c>
      <c r="AM16" s="52">
        <f>25.392*AM3^2-26.36*AM3</f>
        <v>7315</v>
      </c>
      <c r="AN16" s="53">
        <f>35.552*AM3^2-28.56*AM3</f>
        <v>10388</v>
      </c>
      <c r="AO16" s="51">
        <f>-3.0819*AM3^2+225.25*AM3</f>
        <v>2998.0431250000001</v>
      </c>
      <c r="AP16" s="52">
        <f>-3.7962*AM3^2+275.8*AM3</f>
        <v>3663.9137500000002</v>
      </c>
      <c r="AQ16" s="52">
        <f>-4.7733*AM3^2+383.53*AM3</f>
        <v>5249.9518749999997</v>
      </c>
      <c r="AR16" s="52">
        <f>-6.7067*AM3^2+535.37*AM3</f>
        <v>7315.0481250000003</v>
      </c>
      <c r="AS16" s="53">
        <f>-9.9467*AM3^2+767.67*AM3</f>
        <v>10388.048124999998</v>
      </c>
      <c r="AT16" s="40"/>
      <c r="AU16" s="41">
        <f>0.696*AM3^2+118.74*AM3</f>
        <v>2291.1</v>
      </c>
      <c r="AV16" s="42">
        <f>1.18044444*AM3^2+144.68444444*AM3</f>
        <v>2893.4888874499998</v>
      </c>
      <c r="AW16" s="42">
        <f>1.59822222*AM3^2+206.662222222*AM3</f>
        <v>4106.0444437599999</v>
      </c>
      <c r="AX16" s="42">
        <f>1.880888888*AM3^2+286.968888888*AM3</f>
        <v>5597.9777774899994</v>
      </c>
      <c r="AY16" s="43">
        <f>2.7546666666*AM3^2+405.486666666*AM3</f>
        <v>7939.6333333012499</v>
      </c>
      <c r="AZ16" s="41">
        <f>0.9573*AM3^2+51.393*AM3</f>
        <v>1192.5506250000001</v>
      </c>
      <c r="BA16" s="42">
        <f>1.0347*AM3^2+66.987*AM3</f>
        <v>1489.1493749999997</v>
      </c>
      <c r="BB16" s="42">
        <f>1.1049*AM3^2+98.029*AM3</f>
        <v>2053.8831249999998</v>
      </c>
      <c r="BC16" s="42">
        <f>1.608*AM3^2+138.225*AM3</f>
        <v>2911.3874999999998</v>
      </c>
      <c r="BD16" s="43">
        <f>1.7879*AM3^2+176.54*AM3</f>
        <v>3636.9943749999998</v>
      </c>
    </row>
    <row r="17" spans="2:56" ht="18" customHeight="1" x14ac:dyDescent="0.2">
      <c r="B17" s="78"/>
      <c r="C17" s="44" t="s">
        <v>43</v>
      </c>
      <c r="D17" s="45" t="s">
        <v>26</v>
      </c>
      <c r="E17" s="46">
        <f t="shared" ref="E17:N17" si="2">IF($AM$2=0,0,3600*E14/(4186*(IF($AM$2&gt;0,$N$2-$N$3,$N$3-$N$2))))</f>
        <v>596.67462994816049</v>
      </c>
      <c r="F17" s="47">
        <f t="shared" si="2"/>
        <v>726.02006688963206</v>
      </c>
      <c r="G17" s="47">
        <f t="shared" si="2"/>
        <v>1039.0635451505016</v>
      </c>
      <c r="H17" s="47">
        <f t="shared" si="2"/>
        <v>1465.9722888110366</v>
      </c>
      <c r="I17" s="48">
        <f t="shared" si="2"/>
        <v>2029.2785473093647</v>
      </c>
      <c r="J17" s="46">
        <f t="shared" si="2"/>
        <v>596.68946488294318</v>
      </c>
      <c r="K17" s="47">
        <f t="shared" si="2"/>
        <v>726.02834448160525</v>
      </c>
      <c r="L17" s="47">
        <f t="shared" si="2"/>
        <v>1039.0552675585284</v>
      </c>
      <c r="M17" s="47">
        <f t="shared" si="2"/>
        <v>1465.978846153846</v>
      </c>
      <c r="N17" s="48">
        <f t="shared" si="2"/>
        <v>2029.2742474916388</v>
      </c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81"/>
      <c r="AH17" s="83" t="s">
        <v>27</v>
      </c>
      <c r="AI17" s="36">
        <v>12</v>
      </c>
      <c r="AJ17" s="37">
        <v>550</v>
      </c>
      <c r="AK17" s="38">
        <v>735</v>
      </c>
      <c r="AL17" s="38">
        <v>1075</v>
      </c>
      <c r="AM17" s="38">
        <v>1450</v>
      </c>
      <c r="AN17" s="39">
        <v>2150</v>
      </c>
      <c r="AO17" s="54">
        <f>AJ17</f>
        <v>550</v>
      </c>
      <c r="AP17" s="55">
        <f t="shared" ref="AP17:AS19" si="3">AK17</f>
        <v>735</v>
      </c>
      <c r="AQ17" s="55">
        <f t="shared" si="3"/>
        <v>1075</v>
      </c>
      <c r="AR17" s="55">
        <f t="shared" si="3"/>
        <v>1450</v>
      </c>
      <c r="AS17" s="56">
        <f t="shared" si="3"/>
        <v>2150</v>
      </c>
      <c r="AT17" s="40"/>
      <c r="AU17" s="54">
        <f>AJ17</f>
        <v>550</v>
      </c>
      <c r="AV17" s="55">
        <f t="shared" ref="AV17:AY19" si="4">AK17</f>
        <v>735</v>
      </c>
      <c r="AW17" s="55">
        <f t="shared" si="4"/>
        <v>1075</v>
      </c>
      <c r="AX17" s="55">
        <f t="shared" si="4"/>
        <v>1450</v>
      </c>
      <c r="AY17" s="56">
        <f t="shared" si="4"/>
        <v>2150</v>
      </c>
      <c r="AZ17" s="54">
        <f>AU17</f>
        <v>550</v>
      </c>
      <c r="BA17" s="55">
        <f t="shared" ref="BA17:BD19" si="5">AV17</f>
        <v>735</v>
      </c>
      <c r="BB17" s="55">
        <f t="shared" si="5"/>
        <v>1075</v>
      </c>
      <c r="BC17" s="55">
        <f t="shared" si="5"/>
        <v>1450</v>
      </c>
      <c r="BD17" s="56">
        <f t="shared" si="5"/>
        <v>2150</v>
      </c>
    </row>
    <row r="18" spans="2:56" ht="18" customHeight="1" thickBot="1" x14ac:dyDescent="0.25">
      <c r="B18" s="79"/>
      <c r="C18" s="57" t="s">
        <v>44</v>
      </c>
      <c r="D18" s="58" t="s">
        <v>28</v>
      </c>
      <c r="E18" s="59">
        <f>IF($E$17=0,0,0.014079*E17+8.1821)</f>
        <v>16.58268211504015</v>
      </c>
      <c r="F18" s="60">
        <f>IF($F$17=0,0,0.014079*F17+8.1821)</f>
        <v>18.40373652173913</v>
      </c>
      <c r="G18" s="60">
        <f>IF($G$17=0,0,0.014079*G17+8.1821)</f>
        <v>22.811075652173912</v>
      </c>
      <c r="H18" s="60">
        <f>IF($H$17=0,0,0.014079*H17+8.1821)</f>
        <v>28.821523854170586</v>
      </c>
      <c r="I18" s="61">
        <f>IF($I$17=0,0,0.014079*I17+8.1821)</f>
        <v>36.752312667568546</v>
      </c>
      <c r="J18" s="59">
        <f>IF($J$17=0,0,IF($N$2&lt;$N$3,0.014079*J17+8.1821,0.0206*J17+3.509))</f>
        <v>16.582890976086958</v>
      </c>
      <c r="K18" s="60">
        <f>IF($K$17=0,0,IF($N$2&lt;$N$3,0.014079*K17+8.1821,0.0206*K17+3.509))</f>
        <v>18.403853061956518</v>
      </c>
      <c r="L18" s="60">
        <f>IF($L$17=0,0,IF($N$2&lt;$N$3,0.014079*L17+8.1821,0.0206*L17+3.509))</f>
        <v>22.810959111956521</v>
      </c>
      <c r="M18" s="60">
        <f>IF($M$17=0,0,IF($N$2&lt;$N$3,0.014079*M17+8.1821,0.0206*M17+3.509))</f>
        <v>28.821616174999996</v>
      </c>
      <c r="N18" s="61">
        <f>IF($N$17=0,0,IF($N$2&lt;$N$3,0.014079*N17+8.1821,0.0206*N17+3.509))</f>
        <v>36.752252130434783</v>
      </c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81"/>
      <c r="AH18" s="84"/>
      <c r="AI18" s="49">
        <v>30</v>
      </c>
      <c r="AJ18" s="41">
        <v>510</v>
      </c>
      <c r="AK18" s="42">
        <v>680</v>
      </c>
      <c r="AL18" s="42">
        <v>1020</v>
      </c>
      <c r="AM18" s="42">
        <v>1360</v>
      </c>
      <c r="AN18" s="43">
        <v>2040</v>
      </c>
      <c r="AO18" s="62">
        <f t="shared" ref="AO18:AO19" si="6">AJ18</f>
        <v>510</v>
      </c>
      <c r="AP18" s="40">
        <f t="shared" si="3"/>
        <v>680</v>
      </c>
      <c r="AQ18" s="40">
        <f t="shared" si="3"/>
        <v>1020</v>
      </c>
      <c r="AR18" s="40">
        <f t="shared" si="3"/>
        <v>1360</v>
      </c>
      <c r="AS18" s="63">
        <f t="shared" si="3"/>
        <v>2040</v>
      </c>
      <c r="AT18" s="40"/>
      <c r="AU18" s="62">
        <f t="shared" ref="AU18:AU19" si="7">AJ18</f>
        <v>510</v>
      </c>
      <c r="AV18" s="40">
        <f t="shared" si="4"/>
        <v>680</v>
      </c>
      <c r="AW18" s="40">
        <f t="shared" si="4"/>
        <v>1020</v>
      </c>
      <c r="AX18" s="40">
        <f t="shared" si="4"/>
        <v>1360</v>
      </c>
      <c r="AY18" s="63">
        <f t="shared" si="4"/>
        <v>2040</v>
      </c>
      <c r="AZ18" s="62">
        <f t="shared" ref="AZ18:AZ19" si="8">AU18</f>
        <v>510</v>
      </c>
      <c r="BA18" s="40">
        <f t="shared" si="5"/>
        <v>680</v>
      </c>
      <c r="BB18" s="40">
        <f t="shared" si="5"/>
        <v>1020</v>
      </c>
      <c r="BC18" s="40">
        <f t="shared" si="5"/>
        <v>1360</v>
      </c>
      <c r="BD18" s="63">
        <f t="shared" si="5"/>
        <v>2040</v>
      </c>
    </row>
    <row r="19" spans="2:56" ht="18" customHeight="1" thickBot="1" x14ac:dyDescent="0.25">
      <c r="B19" s="77" t="s">
        <v>37</v>
      </c>
      <c r="C19" s="30" t="str">
        <f>IF($N$2&lt;$N$3,"Bendra vėsinimo galia","Šildymo galia")</f>
        <v>Bendra vėsinimo galia</v>
      </c>
      <c r="D19" s="31" t="str">
        <f>IF(C19=0,0,"W")</f>
        <v>W</v>
      </c>
      <c r="E19" s="32">
        <f t="shared" ref="E19:N19" si="9">IF($AM$2&lt;0,VLOOKUP($N$6,$AI$20:$AS$22,E$13,FALSE),VLOOKUP($N$6,$AI$20:$BD$22,E$13+11,FALSE))</f>
        <v>2755.0000013375002</v>
      </c>
      <c r="F19" s="33">
        <f t="shared" si="9"/>
        <v>3332.9999996125002</v>
      </c>
      <c r="G19" s="33">
        <f t="shared" si="9"/>
        <v>4832.9999986624998</v>
      </c>
      <c r="H19" s="33">
        <f t="shared" si="9"/>
        <v>6918.9999986624998</v>
      </c>
      <c r="I19" s="34">
        <f t="shared" si="9"/>
        <v>9602.00000095</v>
      </c>
      <c r="J19" s="32">
        <f t="shared" si="9"/>
        <v>2755.0684980412225</v>
      </c>
      <c r="K19" s="33">
        <f t="shared" si="9"/>
        <v>3333.0380002343859</v>
      </c>
      <c r="L19" s="33">
        <f t="shared" si="9"/>
        <v>4832.961497069231</v>
      </c>
      <c r="M19" s="33">
        <f t="shared" si="9"/>
        <v>6919.0309475796348</v>
      </c>
      <c r="N19" s="34">
        <f t="shared" si="9"/>
        <v>9601.9796553696142</v>
      </c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82"/>
      <c r="AH19" s="85"/>
      <c r="AI19" s="50">
        <v>50</v>
      </c>
      <c r="AJ19" s="51">
        <v>450</v>
      </c>
      <c r="AK19" s="52">
        <v>605</v>
      </c>
      <c r="AL19" s="52">
        <v>890</v>
      </c>
      <c r="AM19" s="52">
        <v>1180</v>
      </c>
      <c r="AN19" s="53">
        <v>1800</v>
      </c>
      <c r="AO19" s="51">
        <f t="shared" si="6"/>
        <v>450</v>
      </c>
      <c r="AP19" s="52">
        <f t="shared" si="3"/>
        <v>605</v>
      </c>
      <c r="AQ19" s="52">
        <f t="shared" si="3"/>
        <v>890</v>
      </c>
      <c r="AR19" s="52">
        <f t="shared" si="3"/>
        <v>1180</v>
      </c>
      <c r="AS19" s="53">
        <f t="shared" si="3"/>
        <v>1800</v>
      </c>
      <c r="AT19" s="40"/>
      <c r="AU19" s="51">
        <f t="shared" si="7"/>
        <v>450</v>
      </c>
      <c r="AV19" s="52">
        <f t="shared" si="4"/>
        <v>605</v>
      </c>
      <c r="AW19" s="52">
        <f t="shared" si="4"/>
        <v>890</v>
      </c>
      <c r="AX19" s="52">
        <f t="shared" si="4"/>
        <v>1180</v>
      </c>
      <c r="AY19" s="53">
        <f t="shared" si="4"/>
        <v>1800</v>
      </c>
      <c r="AZ19" s="51">
        <f t="shared" si="8"/>
        <v>450</v>
      </c>
      <c r="BA19" s="52">
        <f t="shared" si="5"/>
        <v>605</v>
      </c>
      <c r="BB19" s="52">
        <f t="shared" si="5"/>
        <v>890</v>
      </c>
      <c r="BC19" s="52">
        <f t="shared" si="5"/>
        <v>1180</v>
      </c>
      <c r="BD19" s="53">
        <f t="shared" si="5"/>
        <v>1800</v>
      </c>
    </row>
    <row r="20" spans="2:56" ht="18" customHeight="1" x14ac:dyDescent="0.2">
      <c r="B20" s="78"/>
      <c r="C20" s="44" t="str">
        <f>IF($N$2&lt;$N$3,"Jutiminė vėsinimo galia",0)</f>
        <v>Jutiminė vėsinimo galia</v>
      </c>
      <c r="D20" s="45" t="s">
        <v>24</v>
      </c>
      <c r="E20" s="46">
        <f t="shared" ref="E20:N20" si="10">IF($AM$2&lt;0,E19*0.7,0)</f>
        <v>1928.50000093625</v>
      </c>
      <c r="F20" s="47">
        <f t="shared" si="10"/>
        <v>2333.0999997287499</v>
      </c>
      <c r="G20" s="47">
        <f t="shared" si="10"/>
        <v>3383.0999990637497</v>
      </c>
      <c r="H20" s="47">
        <f t="shared" si="10"/>
        <v>4843.29999906375</v>
      </c>
      <c r="I20" s="48">
        <f t="shared" si="10"/>
        <v>6721.4000006649994</v>
      </c>
      <c r="J20" s="46">
        <f t="shared" si="10"/>
        <v>1928.5479486288557</v>
      </c>
      <c r="K20" s="47">
        <f t="shared" si="10"/>
        <v>2333.1266001640702</v>
      </c>
      <c r="L20" s="47">
        <f t="shared" si="10"/>
        <v>3383.0730479484614</v>
      </c>
      <c r="M20" s="47">
        <f t="shared" si="10"/>
        <v>4843.3216633057436</v>
      </c>
      <c r="N20" s="48">
        <f t="shared" si="10"/>
        <v>6721.3857587587299</v>
      </c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80" t="s">
        <v>29</v>
      </c>
      <c r="AH20" s="83" t="s">
        <v>23</v>
      </c>
      <c r="AI20" s="36">
        <v>12</v>
      </c>
      <c r="AJ20" s="37">
        <f>8.87771429*AM3^2+2.06857143*AM3</f>
        <v>2755.0000013375002</v>
      </c>
      <c r="AK20" s="38">
        <f>10.63542857*AM3^2+4.33714286*AM3</f>
        <v>3332.9999996125002</v>
      </c>
      <c r="AL20" s="38">
        <f>16.54628571*AM3^2-13.38857143*AM3</f>
        <v>4832.9999986624998</v>
      </c>
      <c r="AM20" s="38">
        <f>23.82628571*AM3^2-21.58857143*AM3</f>
        <v>6918.9999986624998</v>
      </c>
      <c r="AN20" s="39">
        <f>33.20914286*AM3^2-32.47428571*AM3</f>
        <v>9602.00000095</v>
      </c>
      <c r="AO20" s="37">
        <f>AO14*AJ20/AJ14</f>
        <v>2755.0684980412225</v>
      </c>
      <c r="AP20" s="38">
        <f t="shared" ref="AP20:AS22" si="11">AP14*AK20/AK14</f>
        <v>3333.0380002343859</v>
      </c>
      <c r="AQ20" s="38">
        <f t="shared" si="11"/>
        <v>4832.961497069231</v>
      </c>
      <c r="AR20" s="38">
        <f t="shared" si="11"/>
        <v>6919.0309475796348</v>
      </c>
      <c r="AS20" s="39">
        <f t="shared" si="11"/>
        <v>9601.9796553696142</v>
      </c>
      <c r="AT20" s="40"/>
      <c r="AU20" s="41">
        <f>0.615111111*AM3^2+109.67111111*AM3</f>
        <v>2107.6222221687499</v>
      </c>
      <c r="AV20" s="42">
        <f>1.02577777777*AM3^2+132.6977777777*AM3</f>
        <v>2636.3555555518128</v>
      </c>
      <c r="AW20" s="42">
        <f>1.4151111111*AM3^2+190.071111111*AM3</f>
        <v>3759.6222222168749</v>
      </c>
      <c r="AX20" s="42">
        <f>1.688*AM3^2+272.42*AM3</f>
        <v>5284.3</v>
      </c>
      <c r="AY20" s="43">
        <f>2.451555555*AM3^2+374.7955555555*AM3</f>
        <v>7309.7111109400003</v>
      </c>
      <c r="AZ20" s="37">
        <f>AZ14*AU20/AU14</f>
        <v>1114.5894854967592</v>
      </c>
      <c r="BA20" s="38">
        <f t="shared" ref="BA20:BD22" si="12">BA14*AV20/AV14</f>
        <v>1388.0861860650116</v>
      </c>
      <c r="BB20" s="38">
        <f t="shared" si="12"/>
        <v>1983.229924788815</v>
      </c>
      <c r="BC20" s="38">
        <f t="shared" si="12"/>
        <v>2781.7478315911903</v>
      </c>
      <c r="BD20" s="39">
        <f t="shared" si="12"/>
        <v>3685.8474380376392</v>
      </c>
    </row>
    <row r="21" spans="2:56" ht="18" customHeight="1" x14ac:dyDescent="0.2">
      <c r="B21" s="78"/>
      <c r="C21" s="44" t="s">
        <v>42</v>
      </c>
      <c r="D21" s="45" t="s">
        <v>25</v>
      </c>
      <c r="E21" s="46">
        <v>380</v>
      </c>
      <c r="F21" s="47">
        <v>515</v>
      </c>
      <c r="G21" s="47">
        <v>765</v>
      </c>
      <c r="H21" s="47">
        <v>1040</v>
      </c>
      <c r="I21" s="48">
        <v>1550</v>
      </c>
      <c r="J21" s="46">
        <v>380</v>
      </c>
      <c r="K21" s="47">
        <v>515</v>
      </c>
      <c r="L21" s="47">
        <v>765</v>
      </c>
      <c r="M21" s="47">
        <v>1040</v>
      </c>
      <c r="N21" s="48">
        <v>1550</v>
      </c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81"/>
      <c r="AH21" s="84"/>
      <c r="AI21" s="49">
        <v>30</v>
      </c>
      <c r="AJ21" s="41">
        <f>6.294857*AM3^2+15.554286*AM3</f>
        <v>2199.9999612500001</v>
      </c>
      <c r="AK21" s="42">
        <f>8.475429*AM3^2+16.537143*AM3</f>
        <v>2885.0001337500003</v>
      </c>
      <c r="AL21" s="42">
        <f>13.988571*AM3^2-0.457143*AM3</f>
        <v>4275.9998662500002</v>
      </c>
      <c r="AM21" s="42">
        <f>19.641143*AM3^2-3.434286*AM3</f>
        <v>5955.0000387499995</v>
      </c>
      <c r="AN21" s="43">
        <f>29.058286*AM3^2-27.948571*AM3</f>
        <v>8410.0000949999994</v>
      </c>
      <c r="AO21" s="41">
        <f t="shared" ref="AO21:AO22" si="13">AO15*AJ21/AJ15</f>
        <v>2199.9422755557471</v>
      </c>
      <c r="AP21" s="42">
        <f t="shared" si="11"/>
        <v>2884.9723732508878</v>
      </c>
      <c r="AQ21" s="42">
        <f t="shared" si="11"/>
        <v>4275.9717519007454</v>
      </c>
      <c r="AR21" s="42">
        <f t="shared" si="11"/>
        <v>5954.9385562019779</v>
      </c>
      <c r="AS21" s="43">
        <f t="shared" si="11"/>
        <v>8410.1528642588237</v>
      </c>
      <c r="AT21" s="40"/>
      <c r="AU21" s="41">
        <f>0.463111*AM3^2+88.29111111*AM3</f>
        <v>1686.9221881750002</v>
      </c>
      <c r="AV21" s="42">
        <f>0.86133333*AM3^2+115.5533333*AM3</f>
        <v>2285.9666650624999</v>
      </c>
      <c r="AW21" s="42">
        <f>1.175111*AM3^2+169.8711111*AM3</f>
        <v>3332.6221879999998</v>
      </c>
      <c r="AX21" s="42">
        <f>1.332444*AM3^2+236.464444*AM3</f>
        <v>4546.1887450000004</v>
      </c>
      <c r="AY21" s="43">
        <f>1.997333*AM3^2+329.593333*AM3</f>
        <v>6379.5665587499998</v>
      </c>
      <c r="AZ21" s="41">
        <f t="shared" ref="AZ21:AZ22" si="14">AZ15*AU21/AU15</f>
        <v>915.27157423166727</v>
      </c>
      <c r="BA21" s="42">
        <f t="shared" si="12"/>
        <v>1166.4478279777311</v>
      </c>
      <c r="BB21" s="42">
        <f t="shared" si="12"/>
        <v>1677.221380140486</v>
      </c>
      <c r="BC21" s="42">
        <f t="shared" si="12"/>
        <v>2297.5520772470109</v>
      </c>
      <c r="BD21" s="43">
        <f t="shared" si="12"/>
        <v>3071.9794166914253</v>
      </c>
    </row>
    <row r="22" spans="2:56" ht="18" customHeight="1" thickBot="1" x14ac:dyDescent="0.25">
      <c r="B22" s="78"/>
      <c r="C22" s="44" t="s">
        <v>43</v>
      </c>
      <c r="D22" s="45" t="s">
        <v>26</v>
      </c>
      <c r="E22" s="46">
        <f t="shared" ref="E22:N22" si="15">IF($AM$2=0,0,3600*E19/(4186*(IF($AM$2&gt;0,$N$2-$N$3,$N$3-$N$2))))</f>
        <v>473.86526539966559</v>
      </c>
      <c r="F22" s="47">
        <f t="shared" si="15"/>
        <v>573.28236973745823</v>
      </c>
      <c r="G22" s="47">
        <f t="shared" si="15"/>
        <v>831.28523627257516</v>
      </c>
      <c r="H22" s="47">
        <f t="shared" si="15"/>
        <v>1190.0812228946488</v>
      </c>
      <c r="I22" s="48">
        <f t="shared" si="15"/>
        <v>1651.5623508561873</v>
      </c>
      <c r="J22" s="46">
        <f t="shared" si="15"/>
        <v>473.87704696361209</v>
      </c>
      <c r="K22" s="47">
        <f t="shared" si="15"/>
        <v>573.28890591704669</v>
      </c>
      <c r="L22" s="47">
        <f t="shared" si="15"/>
        <v>831.27861392495129</v>
      </c>
      <c r="M22" s="47">
        <f t="shared" si="15"/>
        <v>1190.0865461675435</v>
      </c>
      <c r="N22" s="48">
        <f t="shared" si="15"/>
        <v>1651.5588513774776</v>
      </c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81"/>
      <c r="AH22" s="85"/>
      <c r="AI22" s="50">
        <v>50</v>
      </c>
      <c r="AJ22" s="51">
        <f>8.24457143*AM3^2+5.26285714*AM3</f>
        <v>2617.0000003875002</v>
      </c>
      <c r="AK22" s="52">
        <f>10.28114286*AM3^2+6.36571429*AM3</f>
        <v>3260.00000095</v>
      </c>
      <c r="AL22" s="52">
        <f>16.10971429*AM3^2-11.29142857*AM3</f>
        <v>4736.0000013374993</v>
      </c>
      <c r="AM22" s="52">
        <f>23.05371429*AM3^2-18.8114285*AM3</f>
        <v>6731.0000025624995</v>
      </c>
      <c r="AN22" s="53">
        <f>32.36114286*AM3^2-32.83428571*AM3</f>
        <v>9336.00000095</v>
      </c>
      <c r="AO22" s="51">
        <f t="shared" si="13"/>
        <v>2617.0376456881022</v>
      </c>
      <c r="AP22" s="52">
        <f t="shared" si="11"/>
        <v>3259.9232622382274</v>
      </c>
      <c r="AQ22" s="52">
        <f t="shared" si="11"/>
        <v>4735.9565880041546</v>
      </c>
      <c r="AR22" s="52">
        <f t="shared" si="11"/>
        <v>6731.0442854572539</v>
      </c>
      <c r="AS22" s="53">
        <f t="shared" si="11"/>
        <v>9336.0432522977117</v>
      </c>
      <c r="AT22" s="40"/>
      <c r="AU22" s="41">
        <f>0.57688889*AM3^2+104.30888888*AM3</f>
        <v>2002.0777779625</v>
      </c>
      <c r="AV22" s="42">
        <f>0.995555555*AM3^2+129.955555555*AM3</f>
        <v>2579.1111109312496</v>
      </c>
      <c r="AW22" s="42">
        <f>1.3724444444*AM3^2+186.364444444*AM3</f>
        <v>3681.6888888674998</v>
      </c>
      <c r="AX22" s="42">
        <f>1.606222222*AM3^2+266.08222222*AM3</f>
        <v>5148.3444443375001</v>
      </c>
      <c r="AY22" s="43">
        <f>2.37955555555*AM3^2+364.415555555*AM3</f>
        <v>7106.0111110996877</v>
      </c>
      <c r="AZ22" s="51">
        <f t="shared" si="14"/>
        <v>1042.1103860188516</v>
      </c>
      <c r="BA22" s="52">
        <f t="shared" si="12"/>
        <v>1327.3531878961444</v>
      </c>
      <c r="BB22" s="52">
        <f t="shared" si="12"/>
        <v>1841.6163740839786</v>
      </c>
      <c r="BC22" s="52">
        <f t="shared" si="12"/>
        <v>2677.5429015117093</v>
      </c>
      <c r="BD22" s="53">
        <f t="shared" si="12"/>
        <v>3255.1279580326759</v>
      </c>
    </row>
    <row r="23" spans="2:56" ht="18" customHeight="1" thickBot="1" x14ac:dyDescent="0.25">
      <c r="B23" s="79"/>
      <c r="C23" s="57" t="s">
        <v>44</v>
      </c>
      <c r="D23" s="58" t="s">
        <v>28</v>
      </c>
      <c r="E23" s="59">
        <f>IF(E22=0,0,0.014079*E22+8.1821)</f>
        <v>14.853649071561891</v>
      </c>
      <c r="F23" s="60">
        <f t="shared" ref="F23:I23" si="16">IF(F22=0,0,0.014079*F22+8.1821)</f>
        <v>16.253342483533672</v>
      </c>
      <c r="G23" s="60">
        <f t="shared" si="16"/>
        <v>19.885764841481585</v>
      </c>
      <c r="H23" s="60">
        <f t="shared" si="16"/>
        <v>24.937253537133763</v>
      </c>
      <c r="I23" s="61">
        <f t="shared" si="16"/>
        <v>31.434446337704259</v>
      </c>
      <c r="J23" s="59">
        <f>IF(J22=0,0,IF($N$2&lt;$N$3,0.014079*J22+8.1821,0.0206*J22+3.509))</f>
        <v>14.853814944200694</v>
      </c>
      <c r="K23" s="60">
        <f t="shared" ref="K23:N23" si="17">IF(K22=0,0,IF($N$2&lt;$N$3,0.014079*K22+8.1821,0.0206*K22+3.509))</f>
        <v>16.253434506406101</v>
      </c>
      <c r="L23" s="60">
        <f t="shared" si="17"/>
        <v>19.885671605449389</v>
      </c>
      <c r="M23" s="60">
        <f t="shared" si="17"/>
        <v>24.937328483492841</v>
      </c>
      <c r="N23" s="61">
        <f t="shared" si="17"/>
        <v>31.434397068543504</v>
      </c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81"/>
      <c r="AH23" s="83" t="s">
        <v>27</v>
      </c>
      <c r="AI23" s="36">
        <v>12</v>
      </c>
      <c r="AJ23" s="41">
        <v>405</v>
      </c>
      <c r="AK23" s="42">
        <v>530</v>
      </c>
      <c r="AL23" s="42">
        <v>790</v>
      </c>
      <c r="AM23" s="42">
        <v>1080</v>
      </c>
      <c r="AN23" s="43">
        <v>1610</v>
      </c>
      <c r="AO23" s="54">
        <f>AJ23</f>
        <v>405</v>
      </c>
      <c r="AP23" s="55">
        <f t="shared" ref="AP23:AS25" si="18">AK23</f>
        <v>530</v>
      </c>
      <c r="AQ23" s="55">
        <f t="shared" si="18"/>
        <v>790</v>
      </c>
      <c r="AR23" s="55">
        <f t="shared" si="18"/>
        <v>1080</v>
      </c>
      <c r="AS23" s="56">
        <f t="shared" si="18"/>
        <v>1610</v>
      </c>
      <c r="AT23" s="40"/>
      <c r="AU23" s="54">
        <f>AJ23</f>
        <v>405</v>
      </c>
      <c r="AV23" s="55">
        <f t="shared" ref="AV23:AY25" si="19">AK23</f>
        <v>530</v>
      </c>
      <c r="AW23" s="55">
        <f t="shared" si="19"/>
        <v>790</v>
      </c>
      <c r="AX23" s="55">
        <f t="shared" si="19"/>
        <v>1080</v>
      </c>
      <c r="AY23" s="56">
        <f t="shared" si="19"/>
        <v>1610</v>
      </c>
      <c r="AZ23" s="54">
        <f>AU23</f>
        <v>405</v>
      </c>
      <c r="BA23" s="55">
        <f t="shared" ref="BA23:BD25" si="20">AV23</f>
        <v>530</v>
      </c>
      <c r="BB23" s="55">
        <f t="shared" si="20"/>
        <v>790</v>
      </c>
      <c r="BC23" s="55">
        <f t="shared" si="20"/>
        <v>1080</v>
      </c>
      <c r="BD23" s="56">
        <f t="shared" si="20"/>
        <v>1610</v>
      </c>
    </row>
    <row r="24" spans="2:56" ht="18" customHeight="1" x14ac:dyDescent="0.2">
      <c r="B24" s="77" t="s">
        <v>39</v>
      </c>
      <c r="C24" s="30" t="str">
        <f>IF($N$2&lt;$N$3,"Bendra vėsinimo galia","Šildymo galia")</f>
        <v>Bendra vėsinimo galia</v>
      </c>
      <c r="D24" s="31" t="str">
        <f>IF(C24=0,0,"W")</f>
        <v>W</v>
      </c>
      <c r="E24" s="32">
        <f t="shared" ref="E24:N24" si="21">IF($AM$2&lt;0,VLOOKUP($N$6,$AI$26:$AS$28,E$13,FALSE),VLOOKUP($N$6,$AI$26:$BD$28,E$13+11,FALSE))</f>
        <v>1771.9999996125</v>
      </c>
      <c r="F24" s="33">
        <f t="shared" si="21"/>
        <v>2195.0000013375002</v>
      </c>
      <c r="G24" s="33">
        <f t="shared" si="21"/>
        <v>3364.0000013375002</v>
      </c>
      <c r="H24" s="33">
        <f t="shared" si="21"/>
        <v>4703.0000003875002</v>
      </c>
      <c r="I24" s="34">
        <f t="shared" si="21"/>
        <v>6836.0000013374993</v>
      </c>
      <c r="J24" s="32">
        <f t="shared" si="21"/>
        <v>1772.0440562945</v>
      </c>
      <c r="K24" s="33">
        <f t="shared" si="21"/>
        <v>2195.0250272496214</v>
      </c>
      <c r="L24" s="33">
        <f t="shared" si="21"/>
        <v>3363.9732023803631</v>
      </c>
      <c r="M24" s="33">
        <f t="shared" si="21"/>
        <v>4703.0210370629338</v>
      </c>
      <c r="N24" s="34">
        <f t="shared" si="21"/>
        <v>6835.9855166064517</v>
      </c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81"/>
      <c r="AH24" s="84"/>
      <c r="AI24" s="49">
        <v>30</v>
      </c>
      <c r="AJ24" s="41">
        <v>310</v>
      </c>
      <c r="AK24" s="42">
        <v>442</v>
      </c>
      <c r="AL24" s="42">
        <v>665</v>
      </c>
      <c r="AM24" s="42">
        <v>885</v>
      </c>
      <c r="AN24" s="43">
        <v>1327</v>
      </c>
      <c r="AO24" s="62">
        <f t="shared" ref="AO24:AO25" si="22">AJ24</f>
        <v>310</v>
      </c>
      <c r="AP24" s="40">
        <f t="shared" si="18"/>
        <v>442</v>
      </c>
      <c r="AQ24" s="40">
        <f t="shared" si="18"/>
        <v>665</v>
      </c>
      <c r="AR24" s="40">
        <f t="shared" si="18"/>
        <v>885</v>
      </c>
      <c r="AS24" s="63">
        <f t="shared" si="18"/>
        <v>1327</v>
      </c>
      <c r="AT24" s="40"/>
      <c r="AU24" s="62">
        <f t="shared" ref="AU24:AU25" si="23">AJ24</f>
        <v>310</v>
      </c>
      <c r="AV24" s="40">
        <f t="shared" si="19"/>
        <v>442</v>
      </c>
      <c r="AW24" s="40">
        <f t="shared" si="19"/>
        <v>665</v>
      </c>
      <c r="AX24" s="40">
        <f t="shared" si="19"/>
        <v>885</v>
      </c>
      <c r="AY24" s="63">
        <f t="shared" si="19"/>
        <v>1327</v>
      </c>
      <c r="AZ24" s="62">
        <f t="shared" ref="AZ24:AZ25" si="24">AU24</f>
        <v>310</v>
      </c>
      <c r="BA24" s="40">
        <f t="shared" si="20"/>
        <v>442</v>
      </c>
      <c r="BB24" s="40">
        <f t="shared" si="20"/>
        <v>665</v>
      </c>
      <c r="BC24" s="40">
        <f t="shared" si="20"/>
        <v>885</v>
      </c>
      <c r="BD24" s="63">
        <f t="shared" si="20"/>
        <v>1327</v>
      </c>
    </row>
    <row r="25" spans="2:56" ht="18" customHeight="1" thickBot="1" x14ac:dyDescent="0.25">
      <c r="B25" s="78"/>
      <c r="C25" s="44" t="str">
        <f>IF($N$2&lt;$N$3,"Jutiminė vėsinimo galia",0)</f>
        <v>Jutiminė vėsinimo galia</v>
      </c>
      <c r="D25" s="45" t="s">
        <v>24</v>
      </c>
      <c r="E25" s="46">
        <f t="shared" ref="E25:N25" si="25">IF($AM$2&lt;0,E24*0.7,0)</f>
        <v>1240.3999997287499</v>
      </c>
      <c r="F25" s="47">
        <f t="shared" si="25"/>
        <v>1536.50000093625</v>
      </c>
      <c r="G25" s="47">
        <f t="shared" si="25"/>
        <v>2354.8000009362499</v>
      </c>
      <c r="H25" s="47">
        <f t="shared" si="25"/>
        <v>3292.1000002712499</v>
      </c>
      <c r="I25" s="48">
        <f t="shared" si="25"/>
        <v>4785.2000009362491</v>
      </c>
      <c r="J25" s="46">
        <f t="shared" si="25"/>
        <v>1240.43083940615</v>
      </c>
      <c r="K25" s="47">
        <f t="shared" si="25"/>
        <v>1536.517519074735</v>
      </c>
      <c r="L25" s="47">
        <f t="shared" si="25"/>
        <v>2354.7812416662541</v>
      </c>
      <c r="M25" s="47">
        <f t="shared" si="25"/>
        <v>3292.1147259440536</v>
      </c>
      <c r="N25" s="48">
        <f t="shared" si="25"/>
        <v>4785.1898616245162</v>
      </c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82"/>
      <c r="AH25" s="85"/>
      <c r="AI25" s="49">
        <v>50</v>
      </c>
      <c r="AJ25" s="62">
        <v>380</v>
      </c>
      <c r="AK25" s="40">
        <v>515</v>
      </c>
      <c r="AL25" s="40">
        <v>765</v>
      </c>
      <c r="AM25" s="40">
        <v>1040</v>
      </c>
      <c r="AN25" s="63">
        <v>1550</v>
      </c>
      <c r="AO25" s="51">
        <f t="shared" si="22"/>
        <v>380</v>
      </c>
      <c r="AP25" s="52">
        <f t="shared" si="18"/>
        <v>515</v>
      </c>
      <c r="AQ25" s="52">
        <f t="shared" si="18"/>
        <v>765</v>
      </c>
      <c r="AR25" s="52">
        <f t="shared" si="18"/>
        <v>1040</v>
      </c>
      <c r="AS25" s="53">
        <f t="shared" si="18"/>
        <v>1550</v>
      </c>
      <c r="AT25" s="40"/>
      <c r="AU25" s="51">
        <f t="shared" si="23"/>
        <v>380</v>
      </c>
      <c r="AV25" s="52">
        <f t="shared" si="19"/>
        <v>515</v>
      </c>
      <c r="AW25" s="52">
        <f t="shared" si="19"/>
        <v>765</v>
      </c>
      <c r="AX25" s="52">
        <f t="shared" si="19"/>
        <v>1040</v>
      </c>
      <c r="AY25" s="53">
        <f t="shared" si="19"/>
        <v>1550</v>
      </c>
      <c r="AZ25" s="51">
        <f t="shared" si="24"/>
        <v>380</v>
      </c>
      <c r="BA25" s="52">
        <f t="shared" si="20"/>
        <v>515</v>
      </c>
      <c r="BB25" s="52">
        <f t="shared" si="20"/>
        <v>765</v>
      </c>
      <c r="BC25" s="52">
        <f t="shared" si="20"/>
        <v>1040</v>
      </c>
      <c r="BD25" s="53">
        <f t="shared" si="20"/>
        <v>1550</v>
      </c>
    </row>
    <row r="26" spans="2:56" ht="18" customHeight="1" x14ac:dyDescent="0.2">
      <c r="B26" s="78"/>
      <c r="C26" s="44" t="s">
        <v>42</v>
      </c>
      <c r="D26" s="45" t="s">
        <v>25</v>
      </c>
      <c r="E26" s="46">
        <v>260</v>
      </c>
      <c r="F26" s="47">
        <v>340</v>
      </c>
      <c r="G26" s="47">
        <v>530</v>
      </c>
      <c r="H26" s="47">
        <v>710</v>
      </c>
      <c r="I26" s="48">
        <v>1050</v>
      </c>
      <c r="J26" s="46">
        <v>260</v>
      </c>
      <c r="K26" s="47">
        <v>340</v>
      </c>
      <c r="L26" s="47">
        <v>530</v>
      </c>
      <c r="M26" s="47">
        <v>710</v>
      </c>
      <c r="N26" s="48">
        <v>1050</v>
      </c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80" t="s">
        <v>30</v>
      </c>
      <c r="AH26" s="83" t="s">
        <v>23</v>
      </c>
      <c r="AI26" s="36">
        <v>12</v>
      </c>
      <c r="AJ26" s="37">
        <f>4.81142857*AM3^2+17.05714286*AM3</f>
        <v>1771.9999996125</v>
      </c>
      <c r="AK26" s="38">
        <f>5.93371429*AM3^2+21.58857143*AM3</f>
        <v>2195.0000013375002</v>
      </c>
      <c r="AL26" s="38">
        <f>9.66171429*AM3^2+23.14857143*AM3</f>
        <v>3364.0000013375002</v>
      </c>
      <c r="AM26" s="38">
        <f>13.78057143*AM3^2+27.58285714*AM3</f>
        <v>4703.0000003875002</v>
      </c>
      <c r="AN26" s="39">
        <f>22.62171429*AM3^2-5.25142857*AM3</f>
        <v>6836.0000013374993</v>
      </c>
      <c r="AO26" s="37">
        <f>AO14*AJ26/AJ14</f>
        <v>1772.0440562945</v>
      </c>
      <c r="AP26" s="38">
        <f t="shared" ref="AP26:AS28" si="26">AP14*AK26/AK14</f>
        <v>2195.0250272496214</v>
      </c>
      <c r="AQ26" s="38">
        <f t="shared" si="26"/>
        <v>3363.9732023803631</v>
      </c>
      <c r="AR26" s="38">
        <f t="shared" si="26"/>
        <v>4703.0210370629338</v>
      </c>
      <c r="AS26" s="39">
        <f t="shared" si="26"/>
        <v>6835.9855166064517</v>
      </c>
      <c r="AT26" s="40"/>
      <c r="AU26" s="41">
        <f>0.2791111111*AM3^2+72.4311111111*AM3</f>
        <v>1353.0222222186248</v>
      </c>
      <c r="AV26" s="42">
        <f>0.512*AM3^2+89.68*AM3</f>
        <v>1726.2</v>
      </c>
      <c r="AW26" s="42">
        <f>0.8648888888*AM3^2+135.028888888*AM3</f>
        <v>2627.8777777350006</v>
      </c>
      <c r="AX26" s="42">
        <f>0.976*AM3^2+188.44*AM3</f>
        <v>3596.6</v>
      </c>
      <c r="AY26" s="43">
        <f>1.432*AM3^2+270.98*AM3</f>
        <v>5180.7000000000007</v>
      </c>
      <c r="AZ26" s="37">
        <f>AZ14*AU26/AU14</f>
        <v>715.52877297741531</v>
      </c>
      <c r="BA26" s="38">
        <f t="shared" ref="BA26:BD28" si="27">BA14*AV26/AV14</f>
        <v>908.87375541570111</v>
      </c>
      <c r="BB26" s="38">
        <f t="shared" si="27"/>
        <v>1386.225939588817</v>
      </c>
      <c r="BC26" s="38">
        <f t="shared" si="27"/>
        <v>1893.3130691105493</v>
      </c>
      <c r="BD26" s="39">
        <f t="shared" si="27"/>
        <v>2612.31525192054</v>
      </c>
    </row>
    <row r="27" spans="2:56" ht="18" customHeight="1" x14ac:dyDescent="0.2">
      <c r="B27" s="78"/>
      <c r="C27" s="44" t="s">
        <v>43</v>
      </c>
      <c r="D27" s="45" t="s">
        <v>26</v>
      </c>
      <c r="E27" s="46">
        <f t="shared" ref="E27:N27" si="28">IF($AM$2=0,0,3600*E24/(4186*(IF($AM$2&gt;0,$N$2-$N$3,$N$3-$N$2))))</f>
        <v>304.78738645986624</v>
      </c>
      <c r="F27" s="47">
        <f t="shared" si="28"/>
        <v>377.54419516555191</v>
      </c>
      <c r="G27" s="47">
        <f t="shared" si="28"/>
        <v>578.6144292792643</v>
      </c>
      <c r="H27" s="47">
        <f t="shared" si="28"/>
        <v>808.92498812207373</v>
      </c>
      <c r="I27" s="48">
        <f t="shared" si="28"/>
        <v>1175.8050647307691</v>
      </c>
      <c r="J27" s="46">
        <f t="shared" si="28"/>
        <v>304.79496429336837</v>
      </c>
      <c r="K27" s="47">
        <f t="shared" si="28"/>
        <v>377.54849967026456</v>
      </c>
      <c r="L27" s="47">
        <f t="shared" si="28"/>
        <v>578.60981980742031</v>
      </c>
      <c r="M27" s="47">
        <f t="shared" si="28"/>
        <v>808.92860647045211</v>
      </c>
      <c r="N27" s="48">
        <f t="shared" si="28"/>
        <v>1175.8025733293466</v>
      </c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81"/>
      <c r="AH27" s="84"/>
      <c r="AI27" s="49">
        <v>30</v>
      </c>
      <c r="AJ27" s="41">
        <f>5.147429*AM3^2+17.977143*AM3</f>
        <v>1891.00013375</v>
      </c>
      <c r="AK27" s="42">
        <f>6.290286*AM3^2+22.891429*AM3</f>
        <v>2327.0000949999999</v>
      </c>
      <c r="AL27" s="42">
        <f>10.603429*AM3^2+18.097143*AM3</f>
        <v>3564.0001337499998</v>
      </c>
      <c r="AM27" s="42">
        <f>15.058286*AM3^2+20.651429*AM3</f>
        <v>4973.0000950000003</v>
      </c>
      <c r="AN27" s="43">
        <f>23.581714*AM3^2-8.851429*AM3</f>
        <v>7066.9999050000006</v>
      </c>
      <c r="AO27" s="41">
        <f t="shared" ref="AO27:AO28" si="29">AO15*AJ27/AJ15</f>
        <v>1890.9505502693323</v>
      </c>
      <c r="AP27" s="42">
        <f t="shared" si="26"/>
        <v>2326.9777037760564</v>
      </c>
      <c r="AQ27" s="42">
        <f t="shared" si="26"/>
        <v>3563.9767007407295</v>
      </c>
      <c r="AR27" s="42">
        <f t="shared" si="26"/>
        <v>4972.9487511351535</v>
      </c>
      <c r="AS27" s="43">
        <f t="shared" si="26"/>
        <v>7067.1282784037348</v>
      </c>
      <c r="AT27" s="40"/>
      <c r="AU27" s="41">
        <f>0.333333*AM3^2+77.0333333*AM3</f>
        <v>1450.1665639999999</v>
      </c>
      <c r="AV27" s="42">
        <f>0.597333*AM3^2+94.6933333*AM3</f>
        <v>1840.0665640000002</v>
      </c>
      <c r="AW27" s="42">
        <f>0.927111*AM3^2+142.6511111*AM3</f>
        <v>2780.3221880000001</v>
      </c>
      <c r="AX27" s="42">
        <f>1.0444444*AM3^2+198.9444444*AM3</f>
        <v>3801.3888745000004</v>
      </c>
      <c r="AY27" s="43">
        <f>1.507556*AM3^2+280.03555555*AM3</f>
        <v>5362.3112471250006</v>
      </c>
      <c r="AZ27" s="41">
        <f t="shared" ref="AZ27:AZ28" si="30">AZ15*AU27/AU15</f>
        <v>786.81532748487086</v>
      </c>
      <c r="BA27" s="42">
        <f>BA15*AV27/AV15</f>
        <v>938.92079867821008</v>
      </c>
      <c r="BB27" s="42">
        <f t="shared" si="27"/>
        <v>1399.2632690809464</v>
      </c>
      <c r="BC27" s="42">
        <f t="shared" si="27"/>
        <v>1921.1452482338923</v>
      </c>
      <c r="BD27" s="43">
        <f t="shared" si="27"/>
        <v>2582.1362039819519</v>
      </c>
    </row>
    <row r="28" spans="2:56" ht="18" customHeight="1" thickBot="1" x14ac:dyDescent="0.25">
      <c r="B28" s="79"/>
      <c r="C28" s="57" t="s">
        <v>44</v>
      </c>
      <c r="D28" s="58" t="s">
        <v>28</v>
      </c>
      <c r="E28" s="59">
        <f>IF(E27=0,0,0.014079*E27+8.1821)</f>
        <v>12.473201613968456</v>
      </c>
      <c r="F28" s="60">
        <f t="shared" ref="F28:I28" si="31">IF(F27=0,0,0.014079*F27+8.1821)</f>
        <v>13.497544723735805</v>
      </c>
      <c r="G28" s="60">
        <f t="shared" si="31"/>
        <v>16.328412549822762</v>
      </c>
      <c r="H28" s="60">
        <f t="shared" si="31"/>
        <v>19.570954907770677</v>
      </c>
      <c r="I28" s="61">
        <f t="shared" si="31"/>
        <v>24.736259506344496</v>
      </c>
      <c r="J28" s="59">
        <f>IF(J27=0,0,IF($N$2&lt;$N$3,0.014079*J27+8.1821,0.0206*J27+3.509))</f>
        <v>12.473308302286334</v>
      </c>
      <c r="K28" s="60">
        <f t="shared" ref="K28:N28" si="32">IF(K27=0,0,IF($N$2&lt;$N$3,0.014079*K27+8.1821,0.0206*K27+3.509))</f>
        <v>13.497605326857656</v>
      </c>
      <c r="L28" s="60">
        <f t="shared" si="32"/>
        <v>16.328347653068668</v>
      </c>
      <c r="M28" s="60">
        <f t="shared" si="32"/>
        <v>19.571005850497492</v>
      </c>
      <c r="N28" s="61">
        <f t="shared" si="32"/>
        <v>24.736224429903871</v>
      </c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81"/>
      <c r="AH28" s="85"/>
      <c r="AI28" s="50">
        <v>50</v>
      </c>
      <c r="AJ28" s="51">
        <f>5.14742857*AM3^2+17.97714268*AM3</f>
        <v>1890.9999964624999</v>
      </c>
      <c r="AK28" s="52">
        <f>6.29028571*AM3^2+22.89142857*AM3</f>
        <v>2326.9999986625003</v>
      </c>
      <c r="AL28" s="52">
        <f>10.603429*AM3^2+18.097143*AM3</f>
        <v>3564.0001337499998</v>
      </c>
      <c r="AM28" s="52">
        <f>15.058286*AM3^2+20.651429*AM3</f>
        <v>4973.0000950000003</v>
      </c>
      <c r="AN28" s="53">
        <f>23.581714*AM3^2-8.851429*AM3</f>
        <v>7066.9999050000006</v>
      </c>
      <c r="AO28" s="51">
        <f t="shared" si="29"/>
        <v>1891.0271983208468</v>
      </c>
      <c r="AP28" s="52">
        <f t="shared" si="26"/>
        <v>2326.9452222876107</v>
      </c>
      <c r="AQ28" s="52">
        <f t="shared" si="26"/>
        <v>3563.9674637487742</v>
      </c>
      <c r="AR28" s="52">
        <f t="shared" si="26"/>
        <v>4973.0328121058883</v>
      </c>
      <c r="AS28" s="53">
        <f t="shared" si="26"/>
        <v>7067.0326446390463</v>
      </c>
      <c r="AT28" s="40"/>
      <c r="AU28" s="51">
        <f>0.333333333*AM3^2+77.033333333*AM3</f>
        <v>1450.16666655875</v>
      </c>
      <c r="AV28" s="52">
        <f>0.597333*AM3^2+94.6933333*AM3</f>
        <v>1840.0665640000002</v>
      </c>
      <c r="AW28" s="52">
        <f>0.927111*AM3^2+142.6511111*AM3</f>
        <v>2780.3221880000001</v>
      </c>
      <c r="AX28" s="52">
        <f>1.0444444*AM3^2+198.9444444*AM3</f>
        <v>3801.3888745000004</v>
      </c>
      <c r="AY28" s="53">
        <f>1.507556*AM3^2+280.03555555*AM3</f>
        <v>5362.3112471250006</v>
      </c>
      <c r="AZ28" s="51">
        <f t="shared" si="30"/>
        <v>754.83268498049142</v>
      </c>
      <c r="BA28" s="52">
        <f t="shared" si="27"/>
        <v>946.99999907511221</v>
      </c>
      <c r="BB28" s="52">
        <f t="shared" si="27"/>
        <v>1390.7440365567695</v>
      </c>
      <c r="BC28" s="52">
        <f t="shared" si="27"/>
        <v>1977.020361953043</v>
      </c>
      <c r="BD28" s="53">
        <f t="shared" si="27"/>
        <v>2456.3723567677353</v>
      </c>
    </row>
    <row r="29" spans="2:56" ht="18" customHeight="1" x14ac:dyDescent="0.2">
      <c r="B29" s="64"/>
      <c r="C29" s="64"/>
      <c r="D29" s="65"/>
      <c r="E29" s="40"/>
      <c r="F29" s="40"/>
      <c r="G29" s="40"/>
      <c r="H29" s="40"/>
      <c r="I29" s="40"/>
      <c r="J29" s="40"/>
      <c r="K29" s="40"/>
      <c r="L29" s="40"/>
      <c r="M29" s="40"/>
      <c r="N29" s="40"/>
      <c r="AG29" s="81"/>
      <c r="AH29" s="83" t="s">
        <v>27</v>
      </c>
      <c r="AI29" s="49">
        <v>12</v>
      </c>
      <c r="AJ29" s="41">
        <v>240</v>
      </c>
      <c r="AK29" s="42">
        <v>315</v>
      </c>
      <c r="AL29" s="42">
        <v>495</v>
      </c>
      <c r="AM29" s="42">
        <v>665</v>
      </c>
      <c r="AN29" s="43">
        <v>1005</v>
      </c>
      <c r="AO29" s="54">
        <f>AJ29</f>
        <v>240</v>
      </c>
      <c r="AP29" s="55">
        <f t="shared" ref="AP29:AS31" si="33">AK29</f>
        <v>315</v>
      </c>
      <c r="AQ29" s="55">
        <f t="shared" si="33"/>
        <v>495</v>
      </c>
      <c r="AR29" s="55">
        <f t="shared" si="33"/>
        <v>665</v>
      </c>
      <c r="AS29" s="56">
        <f t="shared" si="33"/>
        <v>1005</v>
      </c>
      <c r="AT29" s="40"/>
      <c r="AU29" s="54">
        <f>AJ29</f>
        <v>240</v>
      </c>
      <c r="AV29" s="55">
        <f t="shared" ref="AV29:AY31" si="34">AK29</f>
        <v>315</v>
      </c>
      <c r="AW29" s="55">
        <f t="shared" si="34"/>
        <v>495</v>
      </c>
      <c r="AX29" s="55">
        <f t="shared" si="34"/>
        <v>665</v>
      </c>
      <c r="AY29" s="56">
        <f t="shared" si="34"/>
        <v>1005</v>
      </c>
      <c r="AZ29" s="54">
        <f>AU29</f>
        <v>240</v>
      </c>
      <c r="BA29" s="55">
        <f t="shared" ref="BA29:BD31" si="35">AV29</f>
        <v>315</v>
      </c>
      <c r="BB29" s="55">
        <f t="shared" si="35"/>
        <v>495</v>
      </c>
      <c r="BC29" s="55">
        <f t="shared" si="35"/>
        <v>665</v>
      </c>
      <c r="BD29" s="56">
        <f t="shared" si="35"/>
        <v>1005</v>
      </c>
    </row>
    <row r="30" spans="2:56" ht="18" customHeight="1" x14ac:dyDescent="0.2">
      <c r="B30" s="64"/>
      <c r="C30" s="64"/>
      <c r="D30" s="65"/>
      <c r="E30" s="66"/>
      <c r="F30" s="66"/>
      <c r="G30" s="66"/>
      <c r="H30" s="66"/>
      <c r="I30" s="66"/>
      <c r="J30" s="66"/>
      <c r="K30" s="66"/>
      <c r="L30" s="66"/>
      <c r="M30" s="66"/>
      <c r="N30" s="66"/>
      <c r="AG30" s="81"/>
      <c r="AH30" s="84"/>
      <c r="AI30" s="49">
        <v>30</v>
      </c>
      <c r="AJ30" s="41">
        <v>260</v>
      </c>
      <c r="AK30" s="42">
        <v>340</v>
      </c>
      <c r="AL30" s="42">
        <v>530</v>
      </c>
      <c r="AM30" s="42">
        <v>710</v>
      </c>
      <c r="AN30" s="43">
        <v>1050</v>
      </c>
      <c r="AO30" s="62">
        <f t="shared" ref="AO30:AO31" si="36">AJ30</f>
        <v>260</v>
      </c>
      <c r="AP30" s="40">
        <f t="shared" si="33"/>
        <v>340</v>
      </c>
      <c r="AQ30" s="40">
        <f t="shared" si="33"/>
        <v>530</v>
      </c>
      <c r="AR30" s="40">
        <f t="shared" si="33"/>
        <v>710</v>
      </c>
      <c r="AS30" s="63">
        <f t="shared" si="33"/>
        <v>1050</v>
      </c>
      <c r="AT30" s="40"/>
      <c r="AU30" s="62">
        <f t="shared" ref="AU30:AU31" si="37">AJ30</f>
        <v>260</v>
      </c>
      <c r="AV30" s="40">
        <f t="shared" si="34"/>
        <v>340</v>
      </c>
      <c r="AW30" s="40">
        <f t="shared" si="34"/>
        <v>530</v>
      </c>
      <c r="AX30" s="40">
        <f t="shared" si="34"/>
        <v>710</v>
      </c>
      <c r="AY30" s="63">
        <f t="shared" si="34"/>
        <v>1050</v>
      </c>
      <c r="AZ30" s="62">
        <f t="shared" ref="AZ30:AZ31" si="38">AU30</f>
        <v>260</v>
      </c>
      <c r="BA30" s="40">
        <f t="shared" si="35"/>
        <v>340</v>
      </c>
      <c r="BB30" s="40">
        <f t="shared" si="35"/>
        <v>530</v>
      </c>
      <c r="BC30" s="40">
        <f t="shared" si="35"/>
        <v>710</v>
      </c>
      <c r="BD30" s="63">
        <f t="shared" si="35"/>
        <v>1050</v>
      </c>
    </row>
    <row r="31" spans="2:56" ht="18" customHeight="1" thickBot="1" x14ac:dyDescent="0.25">
      <c r="AG31" s="82"/>
      <c r="AH31" s="85"/>
      <c r="AI31" s="50">
        <v>50</v>
      </c>
      <c r="AJ31" s="51">
        <v>260</v>
      </c>
      <c r="AK31" s="52">
        <v>340</v>
      </c>
      <c r="AL31" s="52">
        <v>530</v>
      </c>
      <c r="AM31" s="52">
        <v>710</v>
      </c>
      <c r="AN31" s="53">
        <v>1050</v>
      </c>
      <c r="AO31" s="51">
        <f t="shared" si="36"/>
        <v>260</v>
      </c>
      <c r="AP31" s="52">
        <f t="shared" si="33"/>
        <v>340</v>
      </c>
      <c r="AQ31" s="52">
        <f t="shared" si="33"/>
        <v>530</v>
      </c>
      <c r="AR31" s="52">
        <f t="shared" si="33"/>
        <v>710</v>
      </c>
      <c r="AS31" s="53">
        <f t="shared" si="33"/>
        <v>1050</v>
      </c>
      <c r="AT31" s="40"/>
      <c r="AU31" s="51">
        <f t="shared" si="37"/>
        <v>260</v>
      </c>
      <c r="AV31" s="52">
        <f t="shared" si="34"/>
        <v>340</v>
      </c>
      <c r="AW31" s="52">
        <f t="shared" si="34"/>
        <v>530</v>
      </c>
      <c r="AX31" s="52">
        <f t="shared" si="34"/>
        <v>710</v>
      </c>
      <c r="AY31" s="53">
        <f t="shared" si="34"/>
        <v>1050</v>
      </c>
      <c r="AZ31" s="51">
        <f t="shared" si="38"/>
        <v>260</v>
      </c>
      <c r="BA31" s="52">
        <f t="shared" si="35"/>
        <v>340</v>
      </c>
      <c r="BB31" s="52">
        <f t="shared" si="35"/>
        <v>530</v>
      </c>
      <c r="BC31" s="52">
        <f t="shared" si="35"/>
        <v>710</v>
      </c>
      <c r="BD31" s="53">
        <f t="shared" si="35"/>
        <v>1050</v>
      </c>
    </row>
    <row r="32" spans="2:56" ht="18" customHeight="1" x14ac:dyDescent="0.2">
      <c r="AJ32" s="42"/>
      <c r="AK32" s="42"/>
      <c r="AL32" s="42"/>
      <c r="AM32" s="42"/>
      <c r="AN32" s="42"/>
    </row>
  </sheetData>
  <sheetProtection algorithmName="SHA-512" hashValue="Cb/aJ3trfx5TxM+p28e/bokBe5d/TSAfr4sv1f4+IhlRDvqZOa5q27L3JEVdPtLAEhu1fzUjqP9IIaSwB0QILQ==" saltValue="EcsVU7mUc0yv98ZrP32Txg==" spinCount="100000" sheet="1" formatCells="0" formatColumns="0" formatRows="0" insertColumns="0" insertRows="0" insertHyperlinks="0" deleteColumns="0" deleteRows="0" sort="0" autoFilter="0" pivotTables="0"/>
  <mergeCells count="24">
    <mergeCell ref="AH29:AH31"/>
    <mergeCell ref="AO11:AS11"/>
    <mergeCell ref="AU11:AY11"/>
    <mergeCell ref="AZ11:BD11"/>
    <mergeCell ref="B14:B18"/>
    <mergeCell ref="AG14:AG19"/>
    <mergeCell ref="AH14:AH16"/>
    <mergeCell ref="AH17:AH19"/>
    <mergeCell ref="B19:B23"/>
    <mergeCell ref="AG20:AG25"/>
    <mergeCell ref="B11:B12"/>
    <mergeCell ref="C11:D12"/>
    <mergeCell ref="E11:I11"/>
    <mergeCell ref="J11:N11"/>
    <mergeCell ref="AH20:AH22"/>
    <mergeCell ref="AH23:AH25"/>
    <mergeCell ref="B24:B28"/>
    <mergeCell ref="AG26:AG31"/>
    <mergeCell ref="AH26:AH28"/>
    <mergeCell ref="AJ2:AL2"/>
    <mergeCell ref="AK3:AL3"/>
    <mergeCell ref="K5:M5"/>
    <mergeCell ref="E5:J7"/>
    <mergeCell ref="AJ11:AN11"/>
  </mergeCells>
  <conditionalFormatting sqref="B14:N14 C15:N18">
    <cfRule type="expression" dxfId="7" priority="3">
      <formula>$N$2&gt;$N$3</formula>
    </cfRule>
    <cfRule type="expression" dxfId="6" priority="8">
      <formula>$N$2&lt;$N$3</formula>
    </cfRule>
  </conditionalFormatting>
  <conditionalFormatting sqref="B19:N19 C20:N23">
    <cfRule type="expression" dxfId="5" priority="4">
      <formula>$N$2&gt;$N$3</formula>
    </cfRule>
    <cfRule type="expression" dxfId="4" priority="5">
      <formula>$N$2&lt;$N$3</formula>
    </cfRule>
  </conditionalFormatting>
  <conditionalFormatting sqref="B24:N24 C25:N28">
    <cfRule type="expression" dxfId="3" priority="6">
      <formula>$N$2&gt;$N$3</formula>
    </cfRule>
    <cfRule type="expression" dxfId="2" priority="7">
      <formula>$N$2&lt;$N$3</formula>
    </cfRule>
  </conditionalFormatting>
  <conditionalFormatting sqref="E14:N15 E19:N20 E24:N25">
    <cfRule type="cellIs" dxfId="1" priority="2" operator="between">
      <formula>$AJ$8</formula>
      <formula>$AK$8</formula>
    </cfRule>
  </conditionalFormatting>
  <conditionalFormatting sqref="K3:N3">
    <cfRule type="expression" dxfId="0" priority="9">
      <formula>$M$3="Outlet water t. must be &lt; than room t."</formula>
    </cfRule>
  </conditionalFormatting>
  <dataValidations disablePrompts="1" count="1">
    <dataValidation type="list" allowBlank="1" showInputMessage="1" showErrorMessage="1" sqref="N6" xr:uid="{E1C75709-FAF8-4F3D-8D16-2D3A8F78A6A4}">
      <formula1>$AI$14:$AI$16</formula1>
    </dataValidation>
  </dataValidations>
  <printOptions horizontalCentered="1"/>
  <pageMargins left="0.78740157480314965" right="0.39370078740157483" top="0.55118110236220474" bottom="0.35433070866141736" header="0.31496062992125984" footer="0.31496062992125984"/>
  <pageSetup scale="67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1</vt:i4>
      </vt:variant>
      <vt:variant>
        <vt:lpstr>Įvardytieji diapazonai</vt:lpstr>
      </vt:variant>
      <vt:variant>
        <vt:i4>1</vt:i4>
      </vt:variant>
    </vt:vector>
  </HeadingPairs>
  <TitlesOfParts>
    <vt:vector size="2" baseType="lpstr">
      <vt:lpstr>DF select LT</vt:lpstr>
      <vt:lpstr>'DF select LT'!Print_Area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Donatas Grigonis</dc:creator>
  <cp:lastModifiedBy>Edita Edita</cp:lastModifiedBy>
  <cp:lastPrinted>2025-04-05T08:37:28Z</cp:lastPrinted>
  <dcterms:created xsi:type="dcterms:W3CDTF">2025-04-05T08:29:03Z</dcterms:created>
  <dcterms:modified xsi:type="dcterms:W3CDTF">2025-04-30T07:49:26Z</dcterms:modified>
</cp:coreProperties>
</file>