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b801f2f01c618f2/Stalinis kompiuteris/Tinklalapis _Dokumentai parsisiuntimui/Parsisiusti/2 Fankoilai/2 Kasetiniai/"/>
    </mc:Choice>
  </mc:AlternateContent>
  <xr:revisionPtr revIDLastSave="38" documentId="8_{D197C7F8-132F-4612-A28A-72ED17D8A57D}" xr6:coauthVersionLast="47" xr6:coauthVersionMax="47" xr10:uidLastSave="{FA7AA299-AED3-441A-845B-972906B5553E}"/>
  <bookViews>
    <workbookView xWindow="105" yWindow="1305" windowWidth="13260" windowHeight="11895" xr2:uid="{69083D08-C76D-4287-97C8-4C5E873CBE79}"/>
  </bookViews>
  <sheets>
    <sheet name="CF select LT" sheetId="1" r:id="rId1"/>
  </sheets>
  <definedNames>
    <definedName name="_xlnm.Print_Area" localSheetId="0">'CF select LT'!$B$2:$N$26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2" i="1" l="1"/>
  <c r="C23" i="1"/>
  <c r="C18" i="1"/>
  <c r="C17" i="1"/>
  <c r="C13" i="1"/>
  <c r="C12" i="1"/>
  <c r="AU27" i="1" l="1"/>
  <c r="AT27" i="1"/>
  <c r="AS27" i="1"/>
  <c r="AR27" i="1"/>
  <c r="AQ27" i="1"/>
  <c r="D22" i="1"/>
  <c r="AS18" i="1"/>
  <c r="AX18" i="1" s="1"/>
  <c r="BJ17" i="1"/>
  <c r="D17" i="1"/>
  <c r="BI12" i="1"/>
  <c r="D12" i="1"/>
  <c r="AR6" i="1"/>
  <c r="AQ6" i="1"/>
  <c r="AT3" i="1"/>
  <c r="BK17" i="1" s="1"/>
  <c r="AT2" i="1"/>
  <c r="BC12" i="1" l="1"/>
  <c r="BH12" i="1"/>
  <c r="BK12" i="1"/>
  <c r="AT22" i="1"/>
  <c r="AY22" i="1" s="1"/>
  <c r="AQ13" i="1"/>
  <c r="AV13" i="1" s="1"/>
  <c r="J13" i="1" s="1"/>
  <c r="AU22" i="1"/>
  <c r="AZ22" i="1" s="1"/>
  <c r="N22" i="1" s="1"/>
  <c r="N25" i="1" s="1"/>
  <c r="N26" i="1" s="1"/>
  <c r="AR13" i="1"/>
  <c r="AW13" i="1" s="1"/>
  <c r="K13" i="1" s="1"/>
  <c r="AS13" i="1"/>
  <c r="AX13" i="1" s="1"/>
  <c r="L13" i="1" s="1"/>
  <c r="AU13" i="1"/>
  <c r="AZ13" i="1" s="1"/>
  <c r="N13" i="1" s="1"/>
  <c r="AT17" i="1"/>
  <c r="AY17" i="1" s="1"/>
  <c r="M17" i="1" s="1"/>
  <c r="M20" i="1" s="1"/>
  <c r="M21" i="1" s="1"/>
  <c r="BH17" i="1"/>
  <c r="BI17" i="1"/>
  <c r="M22" i="1"/>
  <c r="M25" i="1" s="1"/>
  <c r="M26" i="1" s="1"/>
  <c r="G18" i="1"/>
  <c r="F18" i="1"/>
  <c r="BJ12" i="1"/>
  <c r="AT13" i="1"/>
  <c r="AY13" i="1" s="1"/>
  <c r="M13" i="1" s="1"/>
  <c r="BE22" i="1"/>
  <c r="AR22" i="1"/>
  <c r="AW22" i="1" s="1"/>
  <c r="BF17" i="1"/>
  <c r="AS17" i="1"/>
  <c r="AX17" i="1" s="1"/>
  <c r="L17" i="1" s="1"/>
  <c r="L20" i="1" s="1"/>
  <c r="L21" i="1" s="1"/>
  <c r="BG12" i="1"/>
  <c r="AT12" i="1"/>
  <c r="AY12" i="1" s="1"/>
  <c r="M12" i="1" s="1"/>
  <c r="M15" i="1" s="1"/>
  <c r="M16" i="1" s="1"/>
  <c r="BD22" i="1"/>
  <c r="AQ22" i="1"/>
  <c r="BE17" i="1"/>
  <c r="AR17" i="1"/>
  <c r="AW17" i="1" s="1"/>
  <c r="K17" i="1" s="1"/>
  <c r="K20" i="1" s="1"/>
  <c r="K21" i="1" s="1"/>
  <c r="BF12" i="1"/>
  <c r="AS12" i="1"/>
  <c r="AX12" i="1" s="1"/>
  <c r="L12" i="1" s="1"/>
  <c r="L15" i="1" s="1"/>
  <c r="L16" i="1" s="1"/>
  <c r="AU23" i="1"/>
  <c r="AZ23" i="1" s="1"/>
  <c r="N23" i="1" s="1"/>
  <c r="BC22" i="1"/>
  <c r="BD17" i="1"/>
  <c r="AQ17" i="1"/>
  <c r="AV17" i="1" s="1"/>
  <c r="J17" i="1" s="1"/>
  <c r="J20" i="1" s="1"/>
  <c r="J21" i="1" s="1"/>
  <c r="BE12" i="1"/>
  <c r="AR12" i="1"/>
  <c r="AW12" i="1" s="1"/>
  <c r="K12" i="1" s="1"/>
  <c r="K15" i="1" s="1"/>
  <c r="K16" i="1" s="1"/>
  <c r="AT23" i="1"/>
  <c r="AY23" i="1" s="1"/>
  <c r="M23" i="1" s="1"/>
  <c r="BB22" i="1"/>
  <c r="AU18" i="1"/>
  <c r="AZ18" i="1" s="1"/>
  <c r="N18" i="1" s="1"/>
  <c r="BC17" i="1"/>
  <c r="BD12" i="1"/>
  <c r="AQ12" i="1"/>
  <c r="AV12" i="1" s="1"/>
  <c r="J12" i="1" s="1"/>
  <c r="J15" i="1" s="1"/>
  <c r="J16" i="1" s="1"/>
  <c r="AS23" i="1"/>
  <c r="AX23" i="1" s="1"/>
  <c r="L23" i="1" s="1"/>
  <c r="AT18" i="1"/>
  <c r="AY18" i="1" s="1"/>
  <c r="M18" i="1" s="1"/>
  <c r="BB17" i="1"/>
  <c r="AU17" i="1"/>
  <c r="AQ23" i="1"/>
  <c r="AV23" i="1" s="1"/>
  <c r="J23" i="1" s="1"/>
  <c r="BF22" i="1"/>
  <c r="AR23" i="1"/>
  <c r="AW23" i="1" s="1"/>
  <c r="K23" i="1" s="1"/>
  <c r="F13" i="1"/>
  <c r="L18" i="1"/>
  <c r="H22" i="1"/>
  <c r="H25" i="1" s="1"/>
  <c r="H26" i="1" s="1"/>
  <c r="BG22" i="1"/>
  <c r="I22" i="1"/>
  <c r="I25" i="1" s="1"/>
  <c r="I26" i="1" s="1"/>
  <c r="BH22" i="1"/>
  <c r="BI22" i="1"/>
  <c r="AU12" i="1"/>
  <c r="AZ12" i="1" s="1"/>
  <c r="N12" i="1" s="1"/>
  <c r="N15" i="1" s="1"/>
  <c r="N16" i="1" s="1"/>
  <c r="AQ18" i="1"/>
  <c r="AV18" i="1" s="1"/>
  <c r="J18" i="1" s="1"/>
  <c r="K22" i="1"/>
  <c r="K25" i="1" s="1"/>
  <c r="K26" i="1" s="1"/>
  <c r="BJ22" i="1"/>
  <c r="E13" i="1"/>
  <c r="BB12" i="1"/>
  <c r="BG17" i="1"/>
  <c r="AR18" i="1"/>
  <c r="AW18" i="1" s="1"/>
  <c r="K18" i="1" s="1"/>
  <c r="AS22" i="1"/>
  <c r="AX22" i="1" s="1"/>
  <c r="L22" i="1" s="1"/>
  <c r="L25" i="1" s="1"/>
  <c r="L26" i="1" s="1"/>
  <c r="BK22" i="1"/>
  <c r="F17" i="1" l="1"/>
  <c r="F20" i="1" s="1"/>
  <c r="F21" i="1" s="1"/>
  <c r="G12" i="1"/>
  <c r="G15" i="1" s="1"/>
  <c r="G16" i="1" s="1"/>
  <c r="F22" i="1"/>
  <c r="F25" i="1" s="1"/>
  <c r="F26" i="1" s="1"/>
  <c r="I12" i="1"/>
  <c r="I15" i="1" s="1"/>
  <c r="I16" i="1" s="1"/>
  <c r="G13" i="1"/>
  <c r="H13" i="1"/>
  <c r="G22" i="1"/>
  <c r="G25" i="1" s="1"/>
  <c r="G26" i="1" s="1"/>
  <c r="I13" i="1"/>
  <c r="E18" i="1"/>
  <c r="I18" i="1"/>
  <c r="F23" i="1"/>
  <c r="H17" i="1"/>
  <c r="H20" i="1" s="1"/>
  <c r="H21" i="1" s="1"/>
  <c r="E22" i="1"/>
  <c r="E25" i="1" s="1"/>
  <c r="E26" i="1" s="1"/>
  <c r="AV22" i="1"/>
  <c r="J22" i="1" s="1"/>
  <c r="J25" i="1" s="1"/>
  <c r="J26" i="1" s="1"/>
  <c r="I17" i="1"/>
  <c r="I20" i="1" s="1"/>
  <c r="I21" i="1" s="1"/>
  <c r="AZ17" i="1"/>
  <c r="N17" i="1" s="1"/>
  <c r="N20" i="1" s="1"/>
  <c r="N21" i="1" s="1"/>
  <c r="H23" i="1"/>
  <c r="E23" i="1"/>
  <c r="H18" i="1"/>
  <c r="F12" i="1"/>
  <c r="F15" i="1" s="1"/>
  <c r="F16" i="1" s="1"/>
  <c r="G17" i="1"/>
  <c r="G20" i="1" s="1"/>
  <c r="G21" i="1" s="1"/>
  <c r="E17" i="1"/>
  <c r="E20" i="1" s="1"/>
  <c r="E21" i="1" s="1"/>
  <c r="G23" i="1"/>
  <c r="H12" i="1"/>
  <c r="H15" i="1" s="1"/>
  <c r="H16" i="1" s="1"/>
  <c r="E12" i="1"/>
  <c r="E15" i="1" s="1"/>
  <c r="E16" i="1" s="1"/>
  <c r="I23" i="1"/>
</calcChain>
</file>

<file path=xl/sharedStrings.xml><?xml version="1.0" encoding="utf-8"?>
<sst xmlns="http://schemas.openxmlformats.org/spreadsheetml/2006/main" count="71" uniqueCount="39">
  <si>
    <t>Cooling / Heating</t>
  </si>
  <si>
    <t>dT</t>
  </si>
  <si>
    <t>2-pipe cooling</t>
  </si>
  <si>
    <t>4-pipe cooling</t>
  </si>
  <si>
    <t>2-pipe heating</t>
  </si>
  <si>
    <t>4-pipe heating</t>
  </si>
  <si>
    <t>CF2 51</t>
  </si>
  <si>
    <t>CF2 68</t>
  </si>
  <si>
    <t>CF2 105</t>
  </si>
  <si>
    <t>CF2 138</t>
  </si>
  <si>
    <t>CF2 205</t>
  </si>
  <si>
    <t>CF4 51</t>
  </si>
  <si>
    <t>CF4 68</t>
  </si>
  <si>
    <t>CF4 105</t>
  </si>
  <si>
    <t>CF4 138</t>
  </si>
  <si>
    <t>CF4 205</t>
  </si>
  <si>
    <t>CF2 55</t>
  </si>
  <si>
    <t>CF4 55</t>
  </si>
  <si>
    <t>W</t>
  </si>
  <si>
    <t>m3/h</t>
  </si>
  <si>
    <t>l/h</t>
  </si>
  <si>
    <t>kPa</t>
  </si>
  <si>
    <t>Oro srautas</t>
  </si>
  <si>
    <t>Vandens srautas</t>
  </si>
  <si>
    <t>Maks. slėgio nuostoliai</t>
  </si>
  <si>
    <t>Greitis</t>
  </si>
  <si>
    <t>Maks.</t>
  </si>
  <si>
    <t>Vidutinis</t>
  </si>
  <si>
    <t>Min.</t>
  </si>
  <si>
    <t>4-ių vamzdžių versija</t>
  </si>
  <si>
    <t>Parametras</t>
  </si>
  <si>
    <t>2-jų vamzdžių versija</t>
  </si>
  <si>
    <t xml:space="preserve">Patalpos temperatūra, °C </t>
  </si>
  <si>
    <t xml:space="preserve">Reikalinga galia, W </t>
  </si>
  <si>
    <t xml:space="preserve">Paklaida + </t>
  </si>
  <si>
    <t xml:space="preserve">Paklaida - </t>
  </si>
  <si>
    <t xml:space="preserve">Įtekančio vandens temp., °C </t>
  </si>
  <si>
    <t xml:space="preserve">Ištekančio vandens temp., °C </t>
  </si>
  <si>
    <r>
      <t xml:space="preserve">Kasetinių fankoilų </t>
    </r>
    <r>
      <rPr>
        <b/>
        <sz val="20"/>
        <rFont val="Aptos"/>
        <family val="2"/>
      </rPr>
      <t>CF</t>
    </r>
    <r>
      <rPr>
        <sz val="20"/>
        <rFont val="Aptos"/>
        <family val="2"/>
      </rPr>
      <t xml:space="preserve">
techniniai duomenys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</si>
</sst>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8" x14ac:knownFonts="1">
    <font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2"/>
      <name val="Aptos"/>
      <family val="2"/>
    </font>
    <font>
      <sz val="20"/>
      <name val="Aptos"/>
      <family val="2"/>
    </font>
    <font>
      <b/>
      <sz val="20"/>
      <name val="Aptos"/>
      <family val="2"/>
    </font>
    <font>
      <b/>
      <sz val="12"/>
      <name val="Aptos"/>
      <family val="2"/>
    </font>
    <font>
      <sz val="11"/>
      <name val="Aptos"/>
      <family val="2"/>
    </font>
    <font>
      <sz val="12"/>
      <color rgb="FF000000"/>
      <name val="Aptos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0" borderId="0" xfId="0" applyFont="1" applyAlignment="1" applyProtection="1">
      <alignment horizontal="left" vertical="top"/>
      <protection hidden="1"/>
    </xf>
    <xf numFmtId="0" fontId="2" fillId="0" borderId="0" xfId="0" applyFont="1" applyAlignment="1" applyProtection="1">
      <alignment horizontal="center" vertical="top"/>
      <protection hidden="1"/>
    </xf>
    <xf numFmtId="0" fontId="2" fillId="0" borderId="0" xfId="0" applyFont="1" applyAlignment="1" applyProtection="1">
      <alignment horizontal="right" vertical="top"/>
      <protection hidden="1"/>
    </xf>
    <xf numFmtId="0" fontId="2" fillId="0" borderId="1" xfId="0" applyFont="1" applyBorder="1" applyAlignment="1" applyProtection="1">
      <alignment horizontal="center" vertical="top"/>
      <protection locked="0" hidden="1"/>
    </xf>
    <xf numFmtId="0" fontId="2" fillId="0" borderId="1" xfId="0" applyFont="1" applyBorder="1" applyAlignment="1" applyProtection="1">
      <alignment horizontal="center" vertical="top"/>
      <protection hidden="1"/>
    </xf>
    <xf numFmtId="0" fontId="2" fillId="0" borderId="0" xfId="0" applyFont="1" applyAlignment="1" applyProtection="1">
      <alignment vertical="center"/>
      <protection hidden="1"/>
    </xf>
    <xf numFmtId="0" fontId="2" fillId="0" borderId="0" xfId="0" applyFont="1" applyAlignment="1" applyProtection="1">
      <alignment horizontal="right" vertical="center"/>
      <protection hidden="1"/>
    </xf>
    <xf numFmtId="0" fontId="2" fillId="0" borderId="1" xfId="0" applyFont="1" applyBorder="1" applyAlignment="1" applyProtection="1">
      <alignment horizontal="center" vertical="center"/>
      <protection locked="0" hidden="1"/>
    </xf>
    <xf numFmtId="0" fontId="4" fillId="0" borderId="0" xfId="0" applyFont="1" applyAlignment="1" applyProtection="1">
      <alignment vertical="top" wrapText="1"/>
      <protection hidden="1"/>
    </xf>
    <xf numFmtId="0" fontId="2" fillId="0" borderId="0" xfId="0" applyFont="1" applyAlignment="1" applyProtection="1">
      <alignment horizontal="left" vertical="top"/>
      <protection locked="0" hidden="1"/>
    </xf>
    <xf numFmtId="0" fontId="2" fillId="0" borderId="0" xfId="0" applyFont="1" applyAlignment="1" applyProtection="1">
      <alignment vertical="top"/>
      <protection hidden="1"/>
    </xf>
    <xf numFmtId="3" fontId="2" fillId="0" borderId="1" xfId="0" applyNumberFormat="1" applyFont="1" applyBorder="1" applyAlignment="1" applyProtection="1">
      <alignment horizontal="center" vertical="top"/>
      <protection locked="0" hidden="1"/>
    </xf>
    <xf numFmtId="9" fontId="2" fillId="0" borderId="1" xfId="1" applyFont="1" applyFill="1" applyBorder="1" applyAlignment="1" applyProtection="1">
      <alignment horizontal="center" vertical="top"/>
      <protection locked="0" hidden="1"/>
    </xf>
    <xf numFmtId="0" fontId="5" fillId="2" borderId="13" xfId="0" applyFont="1" applyFill="1" applyBorder="1" applyAlignment="1" applyProtection="1">
      <alignment horizontal="center" vertical="top" wrapText="1"/>
      <protection hidden="1"/>
    </xf>
    <xf numFmtId="0" fontId="5" fillId="2" borderId="11" xfId="0" applyFont="1" applyFill="1" applyBorder="1" applyAlignment="1" applyProtection="1">
      <alignment horizontal="center" vertical="top" wrapText="1"/>
      <protection hidden="1"/>
    </xf>
    <xf numFmtId="0" fontId="5" fillId="2" borderId="14" xfId="0" applyFont="1" applyFill="1" applyBorder="1" applyAlignment="1" applyProtection="1">
      <alignment horizontal="center" vertical="top" wrapText="1"/>
      <protection hidden="1"/>
    </xf>
    <xf numFmtId="0" fontId="5" fillId="2" borderId="15" xfId="0" applyFont="1" applyFill="1" applyBorder="1" applyAlignment="1" applyProtection="1">
      <alignment horizontal="center" vertical="top" wrapText="1"/>
      <protection hidden="1"/>
    </xf>
    <xf numFmtId="0" fontId="5" fillId="2" borderId="1" xfId="0" applyFont="1" applyFill="1" applyBorder="1" applyAlignment="1" applyProtection="1">
      <alignment horizontal="center" vertical="top" wrapText="1"/>
      <protection hidden="1"/>
    </xf>
    <xf numFmtId="0" fontId="5" fillId="2" borderId="16" xfId="0" applyFont="1" applyFill="1" applyBorder="1" applyAlignment="1" applyProtection="1">
      <alignment horizontal="center" vertical="top" wrapText="1"/>
      <protection hidden="1"/>
    </xf>
    <xf numFmtId="0" fontId="6" fillId="0" borderId="0" xfId="0" applyFont="1" applyAlignment="1" applyProtection="1">
      <alignment horizontal="center" vertical="top"/>
      <protection hidden="1"/>
    </xf>
    <xf numFmtId="0" fontId="2" fillId="0" borderId="6" xfId="0" applyFont="1" applyBorder="1" applyAlignment="1" applyProtection="1">
      <alignment horizontal="left" vertical="top" wrapText="1"/>
      <protection hidden="1"/>
    </xf>
    <xf numFmtId="0" fontId="2" fillId="0" borderId="18" xfId="0" applyFont="1" applyBorder="1" applyAlignment="1" applyProtection="1">
      <alignment horizontal="center" vertical="top" wrapText="1"/>
      <protection hidden="1"/>
    </xf>
    <xf numFmtId="3" fontId="2" fillId="0" borderId="5" xfId="0" applyNumberFormat="1" applyFont="1" applyBorder="1" applyAlignment="1" applyProtection="1">
      <alignment horizontal="right" vertical="top"/>
      <protection hidden="1"/>
    </xf>
    <xf numFmtId="3" fontId="2" fillId="0" borderId="6" xfId="0" applyNumberFormat="1" applyFont="1" applyBorder="1" applyAlignment="1" applyProtection="1">
      <alignment horizontal="right" vertical="top"/>
      <protection hidden="1"/>
    </xf>
    <xf numFmtId="3" fontId="2" fillId="0" borderId="7" xfId="0" applyNumberFormat="1" applyFont="1" applyBorder="1" applyAlignment="1" applyProtection="1">
      <alignment horizontal="right" vertical="top"/>
      <protection hidden="1"/>
    </xf>
    <xf numFmtId="3" fontId="7" fillId="0" borderId="19" xfId="0" applyNumberFormat="1" applyFont="1" applyBorder="1" applyAlignment="1" applyProtection="1">
      <alignment horizontal="right" vertical="top"/>
      <protection hidden="1"/>
    </xf>
    <xf numFmtId="3" fontId="7" fillId="0" borderId="0" xfId="0" applyNumberFormat="1" applyFont="1" applyAlignment="1" applyProtection="1">
      <alignment horizontal="right" vertical="top"/>
      <protection hidden="1"/>
    </xf>
    <xf numFmtId="3" fontId="7" fillId="0" borderId="20" xfId="0" applyNumberFormat="1" applyFont="1" applyBorder="1" applyAlignment="1" applyProtection="1">
      <alignment horizontal="right" vertical="top"/>
      <protection hidden="1"/>
    </xf>
    <xf numFmtId="0" fontId="2" fillId="0" borderId="1" xfId="0" applyFont="1" applyBorder="1" applyAlignment="1" applyProtection="1">
      <alignment horizontal="left" vertical="top" wrapText="1"/>
      <protection hidden="1"/>
    </xf>
    <xf numFmtId="0" fontId="2" fillId="0" borderId="22" xfId="0" applyFont="1" applyBorder="1" applyAlignment="1" applyProtection="1">
      <alignment horizontal="center" vertical="top" wrapText="1"/>
      <protection hidden="1"/>
    </xf>
    <xf numFmtId="3" fontId="2" fillId="0" borderId="15" xfId="0" applyNumberFormat="1" applyFont="1" applyBorder="1" applyAlignment="1" applyProtection="1">
      <alignment horizontal="right" vertical="top"/>
      <protection hidden="1"/>
    </xf>
    <xf numFmtId="3" fontId="2" fillId="0" borderId="1" xfId="0" applyNumberFormat="1" applyFont="1" applyBorder="1" applyAlignment="1" applyProtection="1">
      <alignment horizontal="right" vertical="top"/>
      <protection hidden="1"/>
    </xf>
    <xf numFmtId="3" fontId="2" fillId="0" borderId="16" xfId="0" applyNumberFormat="1" applyFont="1" applyBorder="1" applyAlignment="1" applyProtection="1">
      <alignment horizontal="right" vertical="top"/>
      <protection hidden="1"/>
    </xf>
    <xf numFmtId="0" fontId="2" fillId="0" borderId="19" xfId="0" applyFont="1" applyBorder="1" applyAlignment="1" applyProtection="1">
      <alignment horizontal="left" vertical="top"/>
      <protection hidden="1"/>
    </xf>
    <xf numFmtId="0" fontId="2" fillId="0" borderId="20" xfId="0" applyFont="1" applyBorder="1" applyAlignment="1" applyProtection="1">
      <alignment horizontal="left" vertical="top"/>
      <protection hidden="1"/>
    </xf>
    <xf numFmtId="0" fontId="2" fillId="0" borderId="24" xfId="0" applyFont="1" applyBorder="1" applyAlignment="1" applyProtection="1">
      <alignment horizontal="left" vertical="top" wrapText="1"/>
      <protection hidden="1"/>
    </xf>
    <xf numFmtId="0" fontId="2" fillId="0" borderId="25" xfId="0" applyFont="1" applyBorder="1" applyAlignment="1" applyProtection="1">
      <alignment horizontal="center" vertical="top" wrapText="1"/>
      <protection hidden="1"/>
    </xf>
    <xf numFmtId="164" fontId="2" fillId="0" borderId="26" xfId="0" applyNumberFormat="1" applyFont="1" applyBorder="1" applyAlignment="1" applyProtection="1">
      <alignment horizontal="right" vertical="top"/>
      <protection hidden="1"/>
    </xf>
    <xf numFmtId="164" fontId="2" fillId="0" borderId="24" xfId="0" applyNumberFormat="1" applyFont="1" applyBorder="1" applyAlignment="1" applyProtection="1">
      <alignment horizontal="right" vertical="top"/>
      <protection hidden="1"/>
    </xf>
    <xf numFmtId="164" fontId="2" fillId="0" borderId="27" xfId="0" applyNumberFormat="1" applyFont="1" applyBorder="1" applyAlignment="1" applyProtection="1">
      <alignment horizontal="right" vertical="top"/>
      <protection hidden="1"/>
    </xf>
    <xf numFmtId="164" fontId="2" fillId="0" borderId="15" xfId="0" applyNumberFormat="1" applyFont="1" applyBorder="1" applyAlignment="1" applyProtection="1">
      <alignment horizontal="right" vertical="top"/>
      <protection hidden="1"/>
    </xf>
    <xf numFmtId="164" fontId="2" fillId="0" borderId="1" xfId="0" applyNumberFormat="1" applyFont="1" applyBorder="1" applyAlignment="1" applyProtection="1">
      <alignment horizontal="right" vertical="top"/>
      <protection hidden="1"/>
    </xf>
    <xf numFmtId="164" fontId="2" fillId="0" borderId="16" xfId="0" applyNumberFormat="1" applyFont="1" applyBorder="1" applyAlignment="1" applyProtection="1">
      <alignment horizontal="right" vertical="top"/>
      <protection hidden="1"/>
    </xf>
    <xf numFmtId="0" fontId="2" fillId="0" borderId="28" xfId="0" applyFont="1" applyBorder="1" applyAlignment="1" applyProtection="1">
      <alignment horizontal="left" vertical="top"/>
      <protection hidden="1"/>
    </xf>
    <xf numFmtId="0" fontId="2" fillId="0" borderId="29" xfId="0" applyFont="1" applyBorder="1" applyAlignment="1" applyProtection="1">
      <alignment horizontal="left" vertical="top"/>
      <protection hidden="1"/>
    </xf>
    <xf numFmtId="0" fontId="2" fillId="0" borderId="30" xfId="0" applyFont="1" applyBorder="1" applyAlignment="1" applyProtection="1">
      <alignment horizontal="left" vertical="top"/>
      <protection hidden="1"/>
    </xf>
    <xf numFmtId="0" fontId="2" fillId="0" borderId="0" xfId="0" applyFont="1" applyAlignment="1" applyProtection="1">
      <alignment horizontal="left" vertical="top" wrapText="1"/>
      <protection hidden="1"/>
    </xf>
    <xf numFmtId="0" fontId="2" fillId="0" borderId="0" xfId="0" applyFont="1" applyAlignment="1" applyProtection="1">
      <alignment horizontal="center" vertical="top" wrapText="1"/>
      <protection hidden="1"/>
    </xf>
    <xf numFmtId="3" fontId="2" fillId="0" borderId="0" xfId="0" applyNumberFormat="1" applyFont="1" applyAlignment="1" applyProtection="1">
      <alignment horizontal="right" vertical="top"/>
      <protection hidden="1"/>
    </xf>
    <xf numFmtId="9" fontId="2" fillId="0" borderId="0" xfId="1" applyFont="1" applyAlignment="1" applyProtection="1">
      <alignment horizontal="center" vertical="top" wrapText="1"/>
      <protection hidden="1"/>
    </xf>
    <xf numFmtId="0" fontId="2" fillId="0" borderId="8" xfId="0" applyFont="1" applyBorder="1" applyAlignment="1" applyProtection="1">
      <alignment horizontal="center" vertical="top"/>
      <protection hidden="1"/>
    </xf>
    <xf numFmtId="0" fontId="2" fillId="0" borderId="9" xfId="0" applyFont="1" applyBorder="1" applyAlignment="1" applyProtection="1">
      <alignment horizontal="center" vertical="top"/>
      <protection hidden="1"/>
    </xf>
    <xf numFmtId="0" fontId="2" fillId="0" borderId="10" xfId="0" applyFont="1" applyBorder="1" applyAlignment="1" applyProtection="1">
      <alignment horizontal="center" vertical="top"/>
      <protection hidden="1"/>
    </xf>
    <xf numFmtId="0" fontId="5" fillId="0" borderId="17" xfId="0" applyFont="1" applyBorder="1" applyAlignment="1" applyProtection="1">
      <alignment horizontal="left" vertical="top" wrapText="1"/>
      <protection hidden="1"/>
    </xf>
    <xf numFmtId="0" fontId="5" fillId="0" borderId="21" xfId="0" applyFont="1" applyBorder="1" applyAlignment="1" applyProtection="1">
      <alignment horizontal="left" vertical="top" wrapText="1"/>
      <protection hidden="1"/>
    </xf>
    <xf numFmtId="0" fontId="5" fillId="0" borderId="23" xfId="0" applyFont="1" applyBorder="1" applyAlignment="1" applyProtection="1">
      <alignment horizontal="left" vertical="top" wrapText="1"/>
      <protection hidden="1"/>
    </xf>
    <xf numFmtId="0" fontId="2" fillId="0" borderId="0" xfId="0" applyFont="1" applyAlignment="1" applyProtection="1">
      <alignment horizontal="right" vertical="top"/>
      <protection hidden="1"/>
    </xf>
    <xf numFmtId="0" fontId="2" fillId="0" borderId="2" xfId="0" applyFont="1" applyBorder="1" applyAlignment="1" applyProtection="1">
      <alignment horizontal="right" vertical="top"/>
      <protection hidden="1"/>
    </xf>
    <xf numFmtId="0" fontId="3" fillId="0" borderId="0" xfId="0" applyFont="1" applyAlignment="1" applyProtection="1">
      <alignment horizontal="center" vertical="top" wrapText="1"/>
      <protection hidden="1"/>
    </xf>
    <xf numFmtId="0" fontId="2" fillId="0" borderId="0" xfId="0" applyFont="1" applyAlignment="1" applyProtection="1">
      <alignment horizontal="left" vertical="top"/>
      <protection hidden="1"/>
    </xf>
    <xf numFmtId="0" fontId="5" fillId="2" borderId="1" xfId="0" applyFont="1" applyFill="1" applyBorder="1" applyAlignment="1" applyProtection="1">
      <alignment horizontal="center" vertical="top"/>
      <protection hidden="1"/>
    </xf>
    <xf numFmtId="0" fontId="5" fillId="2" borderId="11" xfId="0" applyFont="1" applyFill="1" applyBorder="1" applyAlignment="1" applyProtection="1">
      <alignment horizontal="center" vertical="top"/>
      <protection hidden="1"/>
    </xf>
    <xf numFmtId="0" fontId="5" fillId="2" borderId="3" xfId="0" applyFont="1" applyFill="1" applyBorder="1" applyAlignment="1" applyProtection="1">
      <alignment horizontal="center" vertical="top" wrapText="1"/>
      <protection hidden="1"/>
    </xf>
    <xf numFmtId="0" fontId="5" fillId="2" borderId="4" xfId="0" applyFont="1" applyFill="1" applyBorder="1" applyAlignment="1" applyProtection="1">
      <alignment horizontal="center" vertical="top" wrapText="1"/>
      <protection hidden="1"/>
    </xf>
    <xf numFmtId="0" fontId="5" fillId="2" borderId="12" xfId="0" applyFont="1" applyFill="1" applyBorder="1" applyAlignment="1" applyProtection="1">
      <alignment horizontal="center" vertical="top" wrapText="1"/>
      <protection hidden="1"/>
    </xf>
    <xf numFmtId="0" fontId="5" fillId="2" borderId="0" xfId="0" applyFont="1" applyFill="1" applyAlignment="1" applyProtection="1">
      <alignment horizontal="center" vertical="top" wrapText="1"/>
      <protection hidden="1"/>
    </xf>
    <xf numFmtId="0" fontId="5" fillId="2" borderId="5" xfId="0" applyFont="1" applyFill="1" applyBorder="1" applyAlignment="1" applyProtection="1">
      <alignment horizontal="center" vertical="top"/>
      <protection hidden="1"/>
    </xf>
    <xf numFmtId="0" fontId="5" fillId="2" borderId="6" xfId="0" applyFont="1" applyFill="1" applyBorder="1" applyAlignment="1" applyProtection="1">
      <alignment horizontal="center" vertical="top"/>
      <protection hidden="1"/>
    </xf>
    <xf numFmtId="0" fontId="5" fillId="2" borderId="7" xfId="0" applyFont="1" applyFill="1" applyBorder="1" applyAlignment="1" applyProtection="1">
      <alignment horizontal="center" vertical="top"/>
      <protection hidden="1"/>
    </xf>
  </cellXfs>
  <cellStyles count="2">
    <cellStyle name="Įprastas" xfId="0" builtinId="0"/>
    <cellStyle name="Procentai" xfId="1" builtinId="5"/>
  </cellStyles>
  <dxfs count="8">
    <dxf>
      <font>
        <b/>
        <i val="0"/>
        <strike val="0"/>
      </font>
      <fill>
        <patternFill>
          <bgColor rgb="FFFF0000"/>
        </patternFill>
      </fill>
    </dxf>
    <dxf>
      <font>
        <b/>
        <i val="0"/>
        <strike val="0"/>
        <color theme="0"/>
      </font>
      <fill>
        <patternFill>
          <bgColor theme="1"/>
        </patternFill>
      </fill>
    </dxf>
    <dxf>
      <fill>
        <patternFill>
          <bgColor rgb="FFE2F3FA"/>
        </patternFill>
      </fill>
    </dxf>
    <dxf>
      <fill>
        <patternFill>
          <bgColor rgb="FFFFDDDD"/>
        </patternFill>
      </fill>
    </dxf>
    <dxf>
      <fill>
        <patternFill>
          <bgColor rgb="FFB0DEF2"/>
        </patternFill>
      </fill>
    </dxf>
    <dxf>
      <fill>
        <patternFill>
          <bgColor rgb="FFFFBDBD"/>
        </patternFill>
      </fill>
    </dxf>
    <dxf>
      <fill>
        <patternFill>
          <bgColor rgb="FF8CD1EC"/>
        </patternFill>
      </fill>
    </dxf>
    <dxf>
      <fill>
        <patternFill>
          <fgColor auto="1"/>
          <bgColor rgb="FFFF9F9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530037</xdr:colOff>
      <xdr:row>1</xdr:row>
      <xdr:rowOff>11953</xdr:rowOff>
    </xdr:from>
    <xdr:to>
      <xdr:col>9</xdr:col>
      <xdr:colOff>175261</xdr:colOff>
      <xdr:row>3</xdr:row>
      <xdr:rowOff>87133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96840A5-F424-4DF5-8B29-1C4DB703ABA9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16237" y="240553"/>
          <a:ext cx="3112324" cy="5323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34290</xdr:colOff>
      <xdr:row>1</xdr:row>
      <xdr:rowOff>34290</xdr:rowOff>
    </xdr:from>
    <xdr:ext cx="2747009" cy="1702682"/>
    <xdr:pic>
      <xdr:nvPicPr>
        <xdr:cNvPr id="3" name="Picture ">
          <a:extLst>
            <a:ext uri="{FF2B5EF4-FFF2-40B4-BE49-F238E27FC236}">
              <a16:creationId xmlns:a16="http://schemas.microsoft.com/office/drawing/2014/main" id="{CF7DAD7C-12D7-4DA7-A18D-F56ADD5092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270" y="262890"/>
          <a:ext cx="2747009" cy="170268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5A28A-72D5-479A-8D9F-0221DD1F7CD1}">
  <dimension ref="B2:BK31"/>
  <sheetViews>
    <sheetView showGridLines="0" showZeros="0" tabSelected="1" zoomScale="80" zoomScaleNormal="80" zoomScaleSheetLayoutView="80" workbookViewId="0">
      <selection activeCell="B10" sqref="B10:B11"/>
    </sheetView>
  </sheetViews>
  <sheetFormatPr defaultColWidth="8.83203125" defaultRowHeight="18" customHeight="1" x14ac:dyDescent="0.2"/>
  <cols>
    <col min="1" max="1" width="8.83203125" style="1"/>
    <col min="2" max="2" width="12" style="1" customWidth="1"/>
    <col min="3" max="3" width="29.1640625" style="1" bestFit="1" customWidth="1"/>
    <col min="4" max="4" width="8.5" style="2" bestFit="1" customWidth="1"/>
    <col min="5" max="5" width="10.1640625" style="2" customWidth="1"/>
    <col min="6" max="6" width="10.1640625" style="3" customWidth="1"/>
    <col min="7" max="9" width="10.83203125" style="1" customWidth="1"/>
    <col min="10" max="11" width="10.1640625" style="1" customWidth="1"/>
    <col min="12" max="14" width="10.83203125" style="1" customWidth="1"/>
    <col min="15" max="42" width="10.1640625" style="1" customWidth="1"/>
    <col min="43" max="44" width="9.1640625" style="1" hidden="1" customWidth="1"/>
    <col min="45" max="47" width="10.5" style="1" hidden="1" customWidth="1"/>
    <col min="48" max="49" width="9.1640625" style="1" hidden="1" customWidth="1"/>
    <col min="50" max="52" width="10.5" style="1" hidden="1" customWidth="1"/>
    <col min="53" max="53" width="1.83203125" style="1" hidden="1" customWidth="1"/>
    <col min="54" max="55" width="9.1640625" style="1" hidden="1" customWidth="1"/>
    <col min="56" max="58" width="10.5" style="1" hidden="1" customWidth="1"/>
    <col min="59" max="60" width="9.1640625" style="1" hidden="1" customWidth="1"/>
    <col min="61" max="63" width="10.5" style="1" hidden="1" customWidth="1"/>
    <col min="64" max="64" width="8.83203125" style="1" customWidth="1"/>
    <col min="65" max="16384" width="8.83203125" style="1"/>
  </cols>
  <sheetData>
    <row r="2" spans="2:63" ht="18" customHeight="1" x14ac:dyDescent="0.2">
      <c r="F2" s="1"/>
      <c r="M2" s="3" t="s">
        <v>36</v>
      </c>
      <c r="N2" s="4">
        <v>7</v>
      </c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57" t="s">
        <v>0</v>
      </c>
      <c r="AR2" s="57"/>
      <c r="AS2" s="57"/>
      <c r="AT2" s="5">
        <f>N2-N3</f>
        <v>-5</v>
      </c>
    </row>
    <row r="3" spans="2:63" ht="18" customHeight="1" x14ac:dyDescent="0.2">
      <c r="F3" s="1"/>
      <c r="K3" s="6"/>
      <c r="L3" s="6"/>
      <c r="M3" s="7" t="s">
        <v>37</v>
      </c>
      <c r="N3" s="8">
        <v>12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R3" s="57" t="s">
        <v>1</v>
      </c>
      <c r="AS3" s="58"/>
      <c r="AT3" s="5">
        <f>IF((N4-(N3+N2)/2)&lt;0, 0-(N4-(N3+N2)/2),(N4-(N3+N2)/2))</f>
        <v>17.5</v>
      </c>
    </row>
    <row r="4" spans="2:63" ht="18" customHeight="1" x14ac:dyDescent="0.2">
      <c r="F4" s="1"/>
      <c r="M4" s="3" t="s">
        <v>32</v>
      </c>
      <c r="N4" s="4">
        <v>27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</row>
    <row r="5" spans="2:63" ht="18" customHeight="1" x14ac:dyDescent="0.2">
      <c r="E5" s="59" t="s">
        <v>38</v>
      </c>
      <c r="F5" s="59"/>
      <c r="G5" s="59"/>
      <c r="H5" s="59"/>
      <c r="I5" s="59"/>
      <c r="J5" s="59"/>
      <c r="K5" s="9"/>
      <c r="L5" s="60"/>
      <c r="M5" s="60"/>
      <c r="N5" s="10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</row>
    <row r="6" spans="2:63" ht="18" customHeight="1" x14ac:dyDescent="0.2">
      <c r="D6" s="9"/>
      <c r="E6" s="59"/>
      <c r="F6" s="59"/>
      <c r="G6" s="59"/>
      <c r="H6" s="59"/>
      <c r="I6" s="59"/>
      <c r="J6" s="59"/>
      <c r="L6" s="11"/>
      <c r="M6" s="3" t="s">
        <v>33</v>
      </c>
      <c r="N6" s="12">
        <v>2500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3">
        <f>IF(N6*(1-$N$8)=0,0.00001,N6*(1-$N$8))</f>
        <v>2450</v>
      </c>
      <c r="AR6" s="3">
        <f>IF(N6*(1+$N$7)=0,0.00001,N6*(1+$N$7))</f>
        <v>2750</v>
      </c>
    </row>
    <row r="7" spans="2:63" ht="18" customHeight="1" x14ac:dyDescent="0.2">
      <c r="D7" s="9"/>
      <c r="E7" s="59"/>
      <c r="F7" s="59"/>
      <c r="G7" s="59"/>
      <c r="H7" s="59"/>
      <c r="I7" s="59"/>
      <c r="J7" s="59"/>
      <c r="L7" s="11"/>
      <c r="M7" s="3" t="s">
        <v>34</v>
      </c>
      <c r="N7" s="13">
        <v>0.1</v>
      </c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3"/>
      <c r="AR7" s="3"/>
    </row>
    <row r="8" spans="2:63" ht="18" customHeight="1" x14ac:dyDescent="0.2">
      <c r="L8" s="11"/>
      <c r="M8" s="3" t="s">
        <v>35</v>
      </c>
      <c r="N8" s="13">
        <v>0.02</v>
      </c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</row>
    <row r="9" spans="2:63" ht="18" customHeight="1" thickBot="1" x14ac:dyDescent="0.25">
      <c r="D9" s="1"/>
      <c r="E9" s="1"/>
      <c r="F9" s="1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</row>
    <row r="10" spans="2:63" ht="18" customHeight="1" x14ac:dyDescent="0.2">
      <c r="B10" s="61" t="s">
        <v>25</v>
      </c>
      <c r="C10" s="63" t="s">
        <v>30</v>
      </c>
      <c r="D10" s="64"/>
      <c r="E10" s="67" t="s">
        <v>31</v>
      </c>
      <c r="F10" s="68"/>
      <c r="G10" s="68"/>
      <c r="H10" s="68"/>
      <c r="I10" s="69"/>
      <c r="J10" s="67" t="s">
        <v>29</v>
      </c>
      <c r="K10" s="68"/>
      <c r="L10" s="68"/>
      <c r="M10" s="68"/>
      <c r="N10" s="69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51" t="s">
        <v>2</v>
      </c>
      <c r="AR10" s="52"/>
      <c r="AS10" s="52"/>
      <c r="AT10" s="52"/>
      <c r="AU10" s="53"/>
      <c r="AV10" s="51" t="s">
        <v>3</v>
      </c>
      <c r="AW10" s="52"/>
      <c r="AX10" s="52"/>
      <c r="AY10" s="52"/>
      <c r="AZ10" s="53"/>
      <c r="BB10" s="51" t="s">
        <v>4</v>
      </c>
      <c r="BC10" s="52"/>
      <c r="BD10" s="52"/>
      <c r="BE10" s="52"/>
      <c r="BF10" s="53"/>
      <c r="BG10" s="51" t="s">
        <v>5</v>
      </c>
      <c r="BH10" s="52"/>
      <c r="BI10" s="52"/>
      <c r="BJ10" s="52"/>
      <c r="BK10" s="53"/>
    </row>
    <row r="11" spans="2:63" s="2" customFormat="1" ht="18" customHeight="1" thickBot="1" x14ac:dyDescent="0.25">
      <c r="B11" s="62"/>
      <c r="C11" s="65"/>
      <c r="D11" s="66"/>
      <c r="E11" s="14" t="s">
        <v>6</v>
      </c>
      <c r="F11" s="15" t="s">
        <v>7</v>
      </c>
      <c r="G11" s="15" t="s">
        <v>8</v>
      </c>
      <c r="H11" s="15" t="s">
        <v>9</v>
      </c>
      <c r="I11" s="16" t="s">
        <v>10</v>
      </c>
      <c r="J11" s="14" t="s">
        <v>11</v>
      </c>
      <c r="K11" s="15" t="s">
        <v>12</v>
      </c>
      <c r="L11" s="15" t="s">
        <v>13</v>
      </c>
      <c r="M11" s="15" t="s">
        <v>14</v>
      </c>
      <c r="N11" s="16" t="s">
        <v>15</v>
      </c>
      <c r="AQ11" s="17" t="s">
        <v>16</v>
      </c>
      <c r="AR11" s="18" t="s">
        <v>7</v>
      </c>
      <c r="AS11" s="18" t="s">
        <v>8</v>
      </c>
      <c r="AT11" s="18" t="s">
        <v>9</v>
      </c>
      <c r="AU11" s="19" t="s">
        <v>10</v>
      </c>
      <c r="AV11" s="17" t="s">
        <v>17</v>
      </c>
      <c r="AW11" s="18" t="s">
        <v>12</v>
      </c>
      <c r="AX11" s="18" t="s">
        <v>13</v>
      </c>
      <c r="AY11" s="18" t="s">
        <v>14</v>
      </c>
      <c r="AZ11" s="19" t="s">
        <v>15</v>
      </c>
      <c r="BA11" s="20"/>
      <c r="BB11" s="17" t="s">
        <v>16</v>
      </c>
      <c r="BC11" s="18" t="s">
        <v>7</v>
      </c>
      <c r="BD11" s="18" t="s">
        <v>8</v>
      </c>
      <c r="BE11" s="18" t="s">
        <v>9</v>
      </c>
      <c r="BF11" s="19" t="s">
        <v>10</v>
      </c>
      <c r="BG11" s="17" t="s">
        <v>17</v>
      </c>
      <c r="BH11" s="18" t="s">
        <v>12</v>
      </c>
      <c r="BI11" s="18" t="s">
        <v>13</v>
      </c>
      <c r="BJ11" s="18" t="s">
        <v>14</v>
      </c>
      <c r="BK11" s="19" t="s">
        <v>15</v>
      </c>
    </row>
    <row r="12" spans="2:63" ht="18" customHeight="1" x14ac:dyDescent="0.2">
      <c r="B12" s="54" t="s">
        <v>26</v>
      </c>
      <c r="C12" s="21" t="str">
        <f>IF($N$2&lt;$N$3,"Bendra vėsinimo galia","Šildymo galia")</f>
        <v>Bendra vėsinimo galia</v>
      </c>
      <c r="D12" s="22" t="str">
        <f>IF(C12=0,0,"W")</f>
        <v>W</v>
      </c>
      <c r="E12" s="23">
        <f>IF($AT$2&lt;0,AQ12,BB12)</f>
        <v>3096.0387500000002</v>
      </c>
      <c r="F12" s="24">
        <f t="shared" ref="F12:N13" si="0">IF($AT$2&lt;0,AR12,BC12)</f>
        <v>3838.9050000000002</v>
      </c>
      <c r="G12" s="24">
        <f t="shared" si="0"/>
        <v>5646.0950000000003</v>
      </c>
      <c r="H12" s="24">
        <f t="shared" si="0"/>
        <v>7657.13375</v>
      </c>
      <c r="I12" s="25">
        <f t="shared" si="0"/>
        <v>10805.094999999999</v>
      </c>
      <c r="J12" s="23">
        <f t="shared" si="0"/>
        <v>3096.0387500000002</v>
      </c>
      <c r="K12" s="24">
        <f t="shared" si="0"/>
        <v>3838.9050000000002</v>
      </c>
      <c r="L12" s="24">
        <f t="shared" si="0"/>
        <v>5646.0950000000003</v>
      </c>
      <c r="M12" s="24">
        <f t="shared" si="0"/>
        <v>7657.13375</v>
      </c>
      <c r="N12" s="25">
        <f t="shared" si="0"/>
        <v>10805.094999999999</v>
      </c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6">
        <f>10.775*$AT$3^2-11.646*$AT$3</f>
        <v>3096.0387500000002</v>
      </c>
      <c r="AR12" s="27">
        <f>13.554*$AT$3^2-17.829*$AT$3</f>
        <v>3838.9050000000002</v>
      </c>
      <c r="AS12" s="27">
        <f>19.87*$AT$3^2-25.091*$AT$3</f>
        <v>5646.0950000000003</v>
      </c>
      <c r="AT12" s="27">
        <f>26.821*$AT$3^2-31.817*$AT$3</f>
        <v>7657.13375</v>
      </c>
      <c r="AU12" s="28">
        <f>37.79*$AT$3^2-43.891*$AT$3</f>
        <v>10805.094999999999</v>
      </c>
      <c r="AV12" s="26">
        <f>AQ12</f>
        <v>3096.0387500000002</v>
      </c>
      <c r="AW12" s="27">
        <f t="shared" ref="AW12:AZ13" si="1">AR12</f>
        <v>3838.9050000000002</v>
      </c>
      <c r="AX12" s="27">
        <f t="shared" si="1"/>
        <v>5646.0950000000003</v>
      </c>
      <c r="AY12" s="27">
        <f t="shared" si="1"/>
        <v>7657.13375</v>
      </c>
      <c r="AZ12" s="28">
        <f t="shared" si="1"/>
        <v>10805.094999999999</v>
      </c>
      <c r="BB12" s="26">
        <f>0.872*$AT$3^2+119.98*$AT$3</f>
        <v>2366.7000000000003</v>
      </c>
      <c r="BC12" s="27">
        <f>1.1484*$AT$3^2+148.6*$AT$3</f>
        <v>2952.1975000000002</v>
      </c>
      <c r="BD12" s="27">
        <f>1.9004*$AT$3^2+219.28*$AT$3</f>
        <v>4419.3975</v>
      </c>
      <c r="BE12" s="27">
        <f>2.4649*$AT$3^2+298.23*$AT$3</f>
        <v>5973.9006250000002</v>
      </c>
      <c r="BF12" s="28">
        <f>3.7849*$AT$3^2+420.13*$AT$3</f>
        <v>8511.4006250000002</v>
      </c>
      <c r="BG12" s="26">
        <f>0.8418*$AT$3^2+85.238*$AT$3</f>
        <v>1749.4662499999999</v>
      </c>
      <c r="BH12" s="27">
        <f>0.9769*$AT$3^2+94.909*$AT$3</f>
        <v>1960.0831250000001</v>
      </c>
      <c r="BI12" s="27">
        <f>1.3431*$AT$3^2+162.49*$AT$3</f>
        <v>3254.8993750000004</v>
      </c>
      <c r="BJ12" s="27">
        <f>2.408*$AT$3^2+192.22*$AT$3</f>
        <v>4101.3</v>
      </c>
      <c r="BK12" s="28">
        <f>3.2436*$AT$3^2+253.38*$AT$3</f>
        <v>5427.5024999999996</v>
      </c>
    </row>
    <row r="13" spans="2:63" ht="18" customHeight="1" x14ac:dyDescent="0.2">
      <c r="B13" s="55"/>
      <c r="C13" s="29" t="str">
        <f>IF($N$2&lt;$N$3,"Jutiminė vėsinimo galia",0)</f>
        <v>Jutiminė vėsinimo galia</v>
      </c>
      <c r="D13" s="30" t="s">
        <v>18</v>
      </c>
      <c r="E13" s="31">
        <f>IF($AT$2&lt;0,AQ13,BB13)</f>
        <v>2168.9587499999998</v>
      </c>
      <c r="F13" s="32">
        <f t="shared" si="0"/>
        <v>2697.9793749999999</v>
      </c>
      <c r="G13" s="32">
        <f t="shared" si="0"/>
        <v>4018</v>
      </c>
      <c r="H13" s="32">
        <f t="shared" si="0"/>
        <v>5430.9587499999998</v>
      </c>
      <c r="I13" s="33">
        <f t="shared" si="0"/>
        <v>7729.0412499999993</v>
      </c>
      <c r="J13" s="31">
        <f t="shared" si="0"/>
        <v>2168.9587499999998</v>
      </c>
      <c r="K13" s="32">
        <f t="shared" si="0"/>
        <v>2697.9793749999999</v>
      </c>
      <c r="L13" s="32">
        <f t="shared" si="0"/>
        <v>4018</v>
      </c>
      <c r="M13" s="32">
        <f t="shared" si="0"/>
        <v>5430.9587499999998</v>
      </c>
      <c r="N13" s="33">
        <f t="shared" si="0"/>
        <v>7729.0412499999993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6">
        <f>0.9166*$AT$3^2+107.9*$AT$3</f>
        <v>2168.9587499999998</v>
      </c>
      <c r="AR13" s="27">
        <f>1.2663*$AT$3^2+132.01*$AT$3</f>
        <v>2697.9793749999999</v>
      </c>
      <c r="AS13" s="27">
        <f>1.984*$AT$3^2+194.88*$AT$3</f>
        <v>4018</v>
      </c>
      <c r="AT13" s="27">
        <f>2.5486*$AT$3^2+265.74*$AT$3</f>
        <v>5430.9587499999998</v>
      </c>
      <c r="AU13" s="28">
        <f>3.8194*$AT$3^2+374.82*$AT$3</f>
        <v>7729.0412499999993</v>
      </c>
      <c r="AV13" s="26">
        <f>AQ13</f>
        <v>2168.9587499999998</v>
      </c>
      <c r="AW13" s="27">
        <f t="shared" si="1"/>
        <v>2697.9793749999999</v>
      </c>
      <c r="AX13" s="27">
        <f t="shared" si="1"/>
        <v>4018</v>
      </c>
      <c r="AY13" s="27">
        <f t="shared" si="1"/>
        <v>5430.9587499999998</v>
      </c>
      <c r="AZ13" s="28">
        <f t="shared" si="1"/>
        <v>7729.0412499999993</v>
      </c>
      <c r="BB13" s="26"/>
      <c r="BC13" s="27"/>
      <c r="BD13" s="27"/>
      <c r="BE13" s="27"/>
      <c r="BF13" s="28"/>
      <c r="BG13" s="26"/>
      <c r="BH13" s="27"/>
      <c r="BI13" s="27"/>
      <c r="BJ13" s="27"/>
      <c r="BK13" s="28"/>
    </row>
    <row r="14" spans="2:63" ht="18" customHeight="1" x14ac:dyDescent="0.2">
      <c r="B14" s="55"/>
      <c r="C14" s="29" t="s">
        <v>22</v>
      </c>
      <c r="D14" s="30" t="s">
        <v>19</v>
      </c>
      <c r="E14" s="31">
        <v>550</v>
      </c>
      <c r="F14" s="32">
        <v>680</v>
      </c>
      <c r="G14" s="32">
        <v>1050</v>
      </c>
      <c r="H14" s="32">
        <v>1380</v>
      </c>
      <c r="I14" s="33">
        <v>2050</v>
      </c>
      <c r="J14" s="31">
        <v>520</v>
      </c>
      <c r="K14" s="32">
        <v>650</v>
      </c>
      <c r="L14" s="32">
        <v>1000</v>
      </c>
      <c r="M14" s="32">
        <v>1320</v>
      </c>
      <c r="N14" s="33">
        <v>1950</v>
      </c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6"/>
      <c r="AR14" s="27"/>
      <c r="AS14" s="27"/>
      <c r="AT14" s="27"/>
      <c r="AU14" s="28"/>
      <c r="AV14" s="26"/>
      <c r="AW14" s="27"/>
      <c r="AX14" s="27"/>
      <c r="AY14" s="27"/>
      <c r="AZ14" s="28"/>
      <c r="BB14" s="26"/>
      <c r="BC14" s="27"/>
      <c r="BD14" s="27"/>
      <c r="BE14" s="27"/>
      <c r="BF14" s="28"/>
      <c r="BG14" s="26"/>
      <c r="BH14" s="27"/>
      <c r="BI14" s="27"/>
      <c r="BJ14" s="27"/>
      <c r="BK14" s="28"/>
    </row>
    <row r="15" spans="2:63" ht="18" customHeight="1" x14ac:dyDescent="0.2">
      <c r="B15" s="55"/>
      <c r="C15" s="29" t="s">
        <v>23</v>
      </c>
      <c r="D15" s="30" t="s">
        <v>20</v>
      </c>
      <c r="E15" s="31">
        <f t="shared" ref="E15:N15" si="2">IF($AT$2=0,0,3600*E12/(4186*(IF($AT$2&gt;0,$N$2-$N$3,$N$3-$N$2))))</f>
        <v>532.5245819397993</v>
      </c>
      <c r="F15" s="32">
        <f t="shared" si="2"/>
        <v>660.29899665551841</v>
      </c>
      <c r="G15" s="32">
        <f t="shared" si="2"/>
        <v>971.1391304347826</v>
      </c>
      <c r="H15" s="32">
        <f t="shared" si="2"/>
        <v>1317.0416387959867</v>
      </c>
      <c r="I15" s="33">
        <f t="shared" si="2"/>
        <v>1858.4969899665552</v>
      </c>
      <c r="J15" s="31">
        <f t="shared" si="2"/>
        <v>532.5245819397993</v>
      </c>
      <c r="K15" s="32">
        <f t="shared" si="2"/>
        <v>660.29899665551841</v>
      </c>
      <c r="L15" s="32">
        <f t="shared" si="2"/>
        <v>971.1391304347826</v>
      </c>
      <c r="M15" s="32">
        <f t="shared" si="2"/>
        <v>1317.0416387959867</v>
      </c>
      <c r="N15" s="33">
        <f t="shared" si="2"/>
        <v>1858.4969899665552</v>
      </c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34"/>
      <c r="AU15" s="35"/>
      <c r="AV15" s="34"/>
      <c r="AZ15" s="35"/>
      <c r="BB15" s="34"/>
      <c r="BF15" s="35"/>
      <c r="BG15" s="34"/>
      <c r="BK15" s="35"/>
    </row>
    <row r="16" spans="2:63" ht="18" customHeight="1" thickBot="1" x14ac:dyDescent="0.25">
      <c r="B16" s="56"/>
      <c r="C16" s="36" t="s">
        <v>24</v>
      </c>
      <c r="D16" s="37" t="s">
        <v>21</v>
      </c>
      <c r="E16" s="38">
        <f>IF(E15=0,0,0.0120519*E15+12.45213)</f>
        <v>18.870063009080269</v>
      </c>
      <c r="F16" s="39">
        <f t="shared" ref="F16:N16" si="3">IF(F15=0,0,0.0120519*F15+12.45213)</f>
        <v>20.409987477792644</v>
      </c>
      <c r="G16" s="39">
        <f t="shared" si="3"/>
        <v>24.156201686086959</v>
      </c>
      <c r="H16" s="39">
        <f t="shared" si="3"/>
        <v>28.324984126605354</v>
      </c>
      <c r="I16" s="40">
        <f t="shared" si="3"/>
        <v>34.850549873377929</v>
      </c>
      <c r="J16" s="38">
        <f t="shared" si="3"/>
        <v>18.870063009080269</v>
      </c>
      <c r="K16" s="39">
        <f t="shared" si="3"/>
        <v>20.409987477792644</v>
      </c>
      <c r="L16" s="39">
        <f t="shared" si="3"/>
        <v>24.156201686086959</v>
      </c>
      <c r="M16" s="39">
        <f t="shared" si="3"/>
        <v>28.324984126605354</v>
      </c>
      <c r="N16" s="40">
        <f t="shared" si="3"/>
        <v>34.850549873377929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6"/>
      <c r="AR16" s="27"/>
      <c r="AS16" s="27"/>
      <c r="AT16" s="27"/>
      <c r="AU16" s="28"/>
      <c r="AV16" s="26"/>
      <c r="AW16" s="27"/>
      <c r="AX16" s="27"/>
      <c r="AY16" s="27"/>
      <c r="AZ16" s="28"/>
      <c r="BB16" s="26"/>
      <c r="BC16" s="27"/>
      <c r="BD16" s="27"/>
      <c r="BE16" s="27"/>
      <c r="BF16" s="28"/>
      <c r="BG16" s="26"/>
      <c r="BH16" s="27"/>
      <c r="BI16" s="27"/>
      <c r="BJ16" s="27"/>
      <c r="BK16" s="28"/>
    </row>
    <row r="17" spans="2:63" ht="18" customHeight="1" x14ac:dyDescent="0.2">
      <c r="B17" s="54" t="s">
        <v>27</v>
      </c>
      <c r="C17" s="21" t="str">
        <f>IF($N$2&lt;$N$3,"Bendra vėsinimo galia","Šildymo galia")</f>
        <v>Bendra vėsinimo galia</v>
      </c>
      <c r="D17" s="22" t="str">
        <f>IF(C17=0,0,"W")</f>
        <v>W</v>
      </c>
      <c r="E17" s="23">
        <f>IF($AT$2&lt;0,AQ17,BB17)</f>
        <v>2652.01125</v>
      </c>
      <c r="F17" s="24">
        <f t="shared" ref="F17:N18" si="4">IF($AT$2&lt;0,AR17,BC17)</f>
        <v>3252.0949999999998</v>
      </c>
      <c r="G17" s="24">
        <f t="shared" si="4"/>
        <v>4843.13375</v>
      </c>
      <c r="H17" s="24">
        <f t="shared" si="4"/>
        <v>6554.9050000000007</v>
      </c>
      <c r="I17" s="25">
        <f t="shared" si="4"/>
        <v>9331.8662499999991</v>
      </c>
      <c r="J17" s="23">
        <f t="shared" si="4"/>
        <v>2652.01125</v>
      </c>
      <c r="K17" s="24">
        <f t="shared" si="4"/>
        <v>3252.0949999999998</v>
      </c>
      <c r="L17" s="24">
        <f t="shared" si="4"/>
        <v>4843.13375</v>
      </c>
      <c r="M17" s="24">
        <f t="shared" si="4"/>
        <v>6554.9050000000007</v>
      </c>
      <c r="N17" s="25">
        <f t="shared" si="4"/>
        <v>9331.8662499999991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6">
        <f>9.2526*$AT$3^2-10.377*$AT$3</f>
        <v>2652.01125</v>
      </c>
      <c r="AR17" s="27">
        <f>11.214*$AT$3^2-10.411*$AT$3</f>
        <v>3252.0949999999998</v>
      </c>
      <c r="AS17" s="27">
        <f>16.677*$AT$3^2-15.097*$AT$3</f>
        <v>4843.13375</v>
      </c>
      <c r="AT17" s="27">
        <f>22.434*$AT$3^2-18.029*$AT$3</f>
        <v>6554.9050000000007</v>
      </c>
      <c r="AU17" s="28">
        <f>32.379*$AT$3^2-33.383*$AT$3</f>
        <v>9331.8662499999991</v>
      </c>
      <c r="AV17" s="26">
        <f>AQ17</f>
        <v>2652.01125</v>
      </c>
      <c r="AW17" s="27">
        <f>AR17</f>
        <v>3252.0949999999998</v>
      </c>
      <c r="AX17" s="27">
        <f>AS17</f>
        <v>4843.13375</v>
      </c>
      <c r="AY17" s="27">
        <f>AT17</f>
        <v>6554.9050000000007</v>
      </c>
      <c r="AZ17" s="28">
        <f>AU17</f>
        <v>9331.8662499999991</v>
      </c>
      <c r="BB17" s="26">
        <f>0.6996*$AT$3^2+103.42*$AT$3</f>
        <v>2024.1025000000002</v>
      </c>
      <c r="BC17" s="27">
        <f>0.9084*$AT$3^2+127.2*$AT$3</f>
        <v>2504.1975000000002</v>
      </c>
      <c r="BD17" s="27">
        <f>1.5458*$AT$3^2+189.4*$AT$3</f>
        <v>3787.9012499999999</v>
      </c>
      <c r="BE17" s="27">
        <f>1.9724*$AT$3^2+257.26*$AT$3</f>
        <v>5106.0974999999999</v>
      </c>
      <c r="BF17" s="28">
        <f>3.0916*$AT$3^2+365.2*$AT$3</f>
        <v>7337.8024999999998</v>
      </c>
      <c r="BG17" s="26">
        <f>0.7182*$AT$3^2+76.062*$AT$3</f>
        <v>1551.0337500000001</v>
      </c>
      <c r="BH17" s="27">
        <f>0.8267*$AT$3^2+84.467*$AT$3</f>
        <v>1731.3493749999998</v>
      </c>
      <c r="BI17" s="27">
        <f>1.1289*$AT$3^2+145.09*$AT$3</f>
        <v>2884.8006250000003</v>
      </c>
      <c r="BJ17" s="27">
        <f>2.0596*$AT$3^2+171.62*$AT$3</f>
        <v>3634.1025</v>
      </c>
      <c r="BK17" s="28">
        <f>2.8578*$AT$3^2+229.08*$AT$3</f>
        <v>4884.1012499999997</v>
      </c>
    </row>
    <row r="18" spans="2:63" ht="18" customHeight="1" x14ac:dyDescent="0.2">
      <c r="B18" s="55"/>
      <c r="C18" s="29" t="str">
        <f>IF($N$2&lt;$N$3,"Jutiminė vėsinimo galia",0)</f>
        <v>Jutiminė vėsinimo galia</v>
      </c>
      <c r="D18" s="30" t="s">
        <v>18</v>
      </c>
      <c r="E18" s="31">
        <f>IF($AT$2&lt;0,AQ18,BB18)</f>
        <v>1848</v>
      </c>
      <c r="F18" s="32">
        <f t="shared" si="4"/>
        <v>2276.9381250000001</v>
      </c>
      <c r="G18" s="32">
        <f t="shared" si="4"/>
        <v>3428.9587499999998</v>
      </c>
      <c r="H18" s="32">
        <f t="shared" si="4"/>
        <v>4622.9793750000008</v>
      </c>
      <c r="I18" s="33">
        <f t="shared" si="4"/>
        <v>6636</v>
      </c>
      <c r="J18" s="31">
        <f t="shared" si="4"/>
        <v>1848</v>
      </c>
      <c r="K18" s="32">
        <f t="shared" si="4"/>
        <v>2276.9381250000001</v>
      </c>
      <c r="L18" s="32">
        <f t="shared" si="4"/>
        <v>3428.9587499999998</v>
      </c>
      <c r="M18" s="32">
        <f t="shared" si="4"/>
        <v>4622.9793750000008</v>
      </c>
      <c r="N18" s="33">
        <f t="shared" si="4"/>
        <v>6636</v>
      </c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6">
        <f>0.784*$AT$3^2+91.88*$AT$3</f>
        <v>1848</v>
      </c>
      <c r="AR18" s="27">
        <f>0.9189*$AT$3^2+114.03*$AT$3</f>
        <v>2276.9381250000001</v>
      </c>
      <c r="AS18" s="27">
        <f>1.4286*$AT$3^2+170.94*$AT$3</f>
        <v>3428.9587499999998</v>
      </c>
      <c r="AT18" s="27">
        <f>1.7943*$AT$3^2+232.77*$AT$3</f>
        <v>4622.9793750000008</v>
      </c>
      <c r="AU18" s="28">
        <f>3.008*$AT$3^2+326.56*$AT$3</f>
        <v>6636</v>
      </c>
      <c r="AV18" s="26">
        <f>AQ18</f>
        <v>1848</v>
      </c>
      <c r="AW18" s="27">
        <f t="shared" ref="AW18:AZ18" si="5">AR18</f>
        <v>2276.9381250000001</v>
      </c>
      <c r="AX18" s="27">
        <f t="shared" si="5"/>
        <v>3428.9587499999998</v>
      </c>
      <c r="AY18" s="27">
        <f t="shared" si="5"/>
        <v>4622.9793750000008</v>
      </c>
      <c r="AZ18" s="28">
        <f t="shared" si="5"/>
        <v>6636</v>
      </c>
      <c r="BB18" s="26"/>
      <c r="BC18" s="27"/>
      <c r="BD18" s="27"/>
      <c r="BE18" s="27"/>
      <c r="BF18" s="28"/>
      <c r="BG18" s="26"/>
      <c r="BH18" s="27"/>
      <c r="BI18" s="27"/>
      <c r="BJ18" s="27"/>
      <c r="BK18" s="28"/>
    </row>
    <row r="19" spans="2:63" ht="18" customHeight="1" x14ac:dyDescent="0.2">
      <c r="B19" s="55"/>
      <c r="C19" s="29" t="s">
        <v>22</v>
      </c>
      <c r="D19" s="30" t="s">
        <v>19</v>
      </c>
      <c r="E19" s="31">
        <v>440</v>
      </c>
      <c r="F19" s="32">
        <v>540</v>
      </c>
      <c r="G19" s="32">
        <v>840</v>
      </c>
      <c r="H19" s="32">
        <v>1100</v>
      </c>
      <c r="I19" s="33">
        <v>1640</v>
      </c>
      <c r="J19" s="31">
        <v>420</v>
      </c>
      <c r="K19" s="32">
        <v>510</v>
      </c>
      <c r="L19" s="32">
        <v>800</v>
      </c>
      <c r="M19" s="32">
        <v>1050</v>
      </c>
      <c r="N19" s="33">
        <v>1560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6"/>
      <c r="AR19" s="27"/>
      <c r="AS19" s="27"/>
      <c r="AT19" s="27"/>
      <c r="AU19" s="28"/>
      <c r="AV19" s="26"/>
      <c r="AW19" s="27"/>
      <c r="AX19" s="27"/>
      <c r="AY19" s="27"/>
      <c r="AZ19" s="28"/>
      <c r="BB19" s="26"/>
      <c r="BC19" s="27"/>
      <c r="BD19" s="27"/>
      <c r="BE19" s="27"/>
      <c r="BF19" s="28"/>
      <c r="BG19" s="26"/>
      <c r="BH19" s="27"/>
      <c r="BI19" s="27"/>
      <c r="BJ19" s="27"/>
      <c r="BK19" s="28"/>
    </row>
    <row r="20" spans="2:63" ht="18" customHeight="1" x14ac:dyDescent="0.2">
      <c r="B20" s="55"/>
      <c r="C20" s="29" t="s">
        <v>23</v>
      </c>
      <c r="D20" s="30" t="s">
        <v>20</v>
      </c>
      <c r="E20" s="31">
        <f t="shared" ref="E20:N20" si="6">IF($AT$2=0,0,3600*E17/(4186*(IF($AT$2&gt;0,$N$2-$N$3,$N$3-$N$2))))</f>
        <v>456.15100334448158</v>
      </c>
      <c r="F20" s="32">
        <f t="shared" si="6"/>
        <v>559.3665551839465</v>
      </c>
      <c r="G20" s="32">
        <f t="shared" si="6"/>
        <v>833.0282608695652</v>
      </c>
      <c r="H20" s="32">
        <f t="shared" si="6"/>
        <v>1127.4561872909701</v>
      </c>
      <c r="I20" s="33">
        <f t="shared" si="6"/>
        <v>1605.0988294314382</v>
      </c>
      <c r="J20" s="31">
        <f t="shared" si="6"/>
        <v>456.15100334448158</v>
      </c>
      <c r="K20" s="32">
        <f t="shared" si="6"/>
        <v>559.3665551839465</v>
      </c>
      <c r="L20" s="32">
        <f t="shared" si="6"/>
        <v>833.0282608695652</v>
      </c>
      <c r="M20" s="32">
        <f t="shared" si="6"/>
        <v>1127.4561872909701</v>
      </c>
      <c r="N20" s="33">
        <f t="shared" si="6"/>
        <v>1605.0988294314382</v>
      </c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6"/>
      <c r="AR20" s="27"/>
      <c r="AS20" s="27"/>
      <c r="AT20" s="27"/>
      <c r="AU20" s="28"/>
      <c r="AV20" s="26"/>
      <c r="AW20" s="27"/>
      <c r="AX20" s="27"/>
      <c r="AY20" s="27"/>
      <c r="AZ20" s="28"/>
      <c r="BB20" s="26"/>
      <c r="BC20" s="27"/>
      <c r="BD20" s="27"/>
      <c r="BE20" s="27"/>
      <c r="BF20" s="28"/>
      <c r="BG20" s="26"/>
      <c r="BH20" s="27"/>
      <c r="BI20" s="27"/>
      <c r="BJ20" s="27"/>
      <c r="BK20" s="28"/>
    </row>
    <row r="21" spans="2:63" ht="18" customHeight="1" thickBot="1" x14ac:dyDescent="0.25">
      <c r="B21" s="56"/>
      <c r="C21" s="36" t="s">
        <v>24</v>
      </c>
      <c r="D21" s="37" t="s">
        <v>21</v>
      </c>
      <c r="E21" s="41">
        <f>IF(E20=0,0,0.0120519*E20+12.45213)</f>
        <v>17.949616277207358</v>
      </c>
      <c r="F21" s="42">
        <f t="shared" ref="F21:N21" si="7">IF(F20=0,0,0.0120519*F20+12.45213)</f>
        <v>19.193559786421407</v>
      </c>
      <c r="G21" s="42">
        <f t="shared" si="7"/>
        <v>22.491703297173913</v>
      </c>
      <c r="H21" s="42">
        <f t="shared" si="7"/>
        <v>26.040119223612045</v>
      </c>
      <c r="I21" s="43">
        <f t="shared" si="7"/>
        <v>31.796620582424751</v>
      </c>
      <c r="J21" s="41">
        <f t="shared" si="7"/>
        <v>17.949616277207358</v>
      </c>
      <c r="K21" s="42">
        <f t="shared" si="7"/>
        <v>19.193559786421407</v>
      </c>
      <c r="L21" s="42">
        <f t="shared" si="7"/>
        <v>22.491703297173913</v>
      </c>
      <c r="M21" s="42">
        <f t="shared" si="7"/>
        <v>26.040119223612045</v>
      </c>
      <c r="N21" s="43">
        <f t="shared" si="7"/>
        <v>31.796620582424751</v>
      </c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34"/>
      <c r="AU21" s="35"/>
      <c r="AV21" s="34"/>
      <c r="AZ21" s="35"/>
      <c r="BB21" s="34"/>
      <c r="BF21" s="35"/>
      <c r="BG21" s="34"/>
      <c r="BK21" s="35"/>
    </row>
    <row r="22" spans="2:63" ht="18" customHeight="1" x14ac:dyDescent="0.2">
      <c r="B22" s="54" t="s">
        <v>28</v>
      </c>
      <c r="C22" s="21" t="str">
        <f>IF($N$2&lt;$N$3,"Bendra vėsinimo galia","Šildymo galia")</f>
        <v>Bendra vėsinimo galia</v>
      </c>
      <c r="D22" s="22" t="str">
        <f>IF(C22=0,0,"W")</f>
        <v>W</v>
      </c>
      <c r="E22" s="23">
        <f>IF($AT$2&lt;0,AQ22,BB22)</f>
        <v>2127.0095000000001</v>
      </c>
      <c r="F22" s="24">
        <f t="shared" ref="F22:N23" si="8">IF($AT$2&lt;0,AR22,BC22)</f>
        <v>2622.986625</v>
      </c>
      <c r="G22" s="24">
        <f t="shared" si="8"/>
        <v>3891.1319999999996</v>
      </c>
      <c r="H22" s="24">
        <f t="shared" si="8"/>
        <v>5296.0950000000012</v>
      </c>
      <c r="I22" s="25">
        <f t="shared" si="8"/>
        <v>7566.9999999999991</v>
      </c>
      <c r="J22" s="23">
        <f t="shared" si="8"/>
        <v>2127.0095000000001</v>
      </c>
      <c r="K22" s="24">
        <f t="shared" si="8"/>
        <v>2622.986625</v>
      </c>
      <c r="L22" s="24">
        <f t="shared" si="8"/>
        <v>3891.1319999999996</v>
      </c>
      <c r="M22" s="24">
        <f t="shared" si="8"/>
        <v>5296.0950000000012</v>
      </c>
      <c r="N22" s="25">
        <f t="shared" si="8"/>
        <v>7566.9999999999991</v>
      </c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6">
        <f>6.9486*$AT$3^2-0.0571*$AT$3</f>
        <v>2127.0095000000001</v>
      </c>
      <c r="AR22" s="27">
        <f>8.3131*$AT$3^2+4.4057*$AT$3</f>
        <v>2622.986625</v>
      </c>
      <c r="AS22" s="27">
        <f>12.197*$AT$3^2+8.9029*$AT$3</f>
        <v>3891.1319999999996</v>
      </c>
      <c r="AT22" s="27">
        <f>16.67*$AT$3^2+10.909*$AT$3</f>
        <v>5296.0950000000012</v>
      </c>
      <c r="AU22" s="28">
        <f>24.304*$AT$3^2+7.08*$AT$3</f>
        <v>7566.9999999999991</v>
      </c>
      <c r="AV22" s="26">
        <f>AQ22</f>
        <v>2127.0095000000001</v>
      </c>
      <c r="AW22" s="27">
        <f>AR22</f>
        <v>2622.986625</v>
      </c>
      <c r="AX22" s="27">
        <f>AS22</f>
        <v>3891.1319999999996</v>
      </c>
      <c r="AY22" s="27">
        <f>AT22</f>
        <v>5296.0950000000012</v>
      </c>
      <c r="AZ22" s="28">
        <f>AU22</f>
        <v>7566.9999999999991</v>
      </c>
      <c r="BB22" s="26">
        <f>0.5182*$AT$3^2+83.762*$AT$3</f>
        <v>1624.5337500000001</v>
      </c>
      <c r="BC22" s="27">
        <f>0.6942*$AT$3^2+103.4*$AT$3</f>
        <v>2022.0987500000001</v>
      </c>
      <c r="BD22" s="27">
        <f>1.1769*$AT$3^2+153.61*$AT$3</f>
        <v>3048.600625</v>
      </c>
      <c r="BE22" s="27">
        <f>1.4924*$AT$3^2+209.66*$AT$3</f>
        <v>4126.0974999999999</v>
      </c>
      <c r="BF22" s="28">
        <f>2.336*$AT$3^2+299.04*$AT$3</f>
        <v>5948.6</v>
      </c>
      <c r="BG22" s="26">
        <f>0.5538*$AT$3^2+63.319*$AT$3</f>
        <v>1277.6837499999999</v>
      </c>
      <c r="BH22" s="27">
        <f>0.6729*$AT$3^2+72.949*$AT$3</f>
        <v>1482.683125</v>
      </c>
      <c r="BI22" s="27">
        <f>0.8622*$AT$3^2+123.22*$AT$3</f>
        <v>2420.3987499999998</v>
      </c>
      <c r="BJ22" s="27">
        <f>1.6711*$AT$3^2+145.91*$AT$3</f>
        <v>3065.1993749999997</v>
      </c>
      <c r="BK22" s="28">
        <f>2.3422*$AT$3^2+197.92*$AT$3</f>
        <v>4180.8987500000003</v>
      </c>
    </row>
    <row r="23" spans="2:63" ht="18" customHeight="1" x14ac:dyDescent="0.2">
      <c r="B23" s="55"/>
      <c r="C23" s="29" t="str">
        <f>IF($N$2&lt;$N$3,"Jutiminė vėsinimo galia",0)</f>
        <v>Jutiminė vėsinimo galia</v>
      </c>
      <c r="D23" s="30" t="s">
        <v>18</v>
      </c>
      <c r="E23" s="31">
        <f>IF($AT$2&lt;0,AQ23,BB23)</f>
        <v>1474.9918749999999</v>
      </c>
      <c r="F23" s="32">
        <f t="shared" si="8"/>
        <v>1829.0081250000001</v>
      </c>
      <c r="G23" s="32">
        <f t="shared" si="8"/>
        <v>2742.0618750000003</v>
      </c>
      <c r="H23" s="32">
        <f t="shared" si="8"/>
        <v>3712.9793749999999</v>
      </c>
      <c r="I23" s="33">
        <f t="shared" si="8"/>
        <v>5346.0618750000003</v>
      </c>
      <c r="J23" s="31">
        <f t="shared" si="8"/>
        <v>1474.9918749999999</v>
      </c>
      <c r="K23" s="32">
        <f t="shared" si="8"/>
        <v>1829.0081250000001</v>
      </c>
      <c r="L23" s="32">
        <f t="shared" si="8"/>
        <v>2742.0618750000003</v>
      </c>
      <c r="M23" s="32">
        <f t="shared" si="8"/>
        <v>3712.9793749999999</v>
      </c>
      <c r="N23" s="33">
        <f t="shared" si="8"/>
        <v>5346.0618750000003</v>
      </c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6">
        <f>0.3611*$AT$3^2+77.966*$AT$3</f>
        <v>1474.9918749999999</v>
      </c>
      <c r="AR23" s="27">
        <f>0.3269*$AT$3^2+98.794*$AT$3</f>
        <v>1829.0081250000001</v>
      </c>
      <c r="AS23" s="27">
        <f>0.4091*$AT$3^2+149.53*$AT$3</f>
        <v>2742.0618750000003</v>
      </c>
      <c r="AT23" s="27">
        <f>0.5623*$AT$3^2+202.33*$AT$3</f>
        <v>3712.9793749999999</v>
      </c>
      <c r="AU23" s="28">
        <f>1.1291*$AT$3^2+285.73*$AT$3</f>
        <v>5346.0618750000003</v>
      </c>
      <c r="AV23" s="26">
        <f>AQ23</f>
        <v>1474.9918749999999</v>
      </c>
      <c r="AW23" s="27">
        <f t="shared" ref="AW23:AZ23" si="9">AR23</f>
        <v>1829.0081250000001</v>
      </c>
      <c r="AX23" s="27">
        <f t="shared" si="9"/>
        <v>2742.0618750000003</v>
      </c>
      <c r="AY23" s="27">
        <f t="shared" si="9"/>
        <v>3712.9793749999999</v>
      </c>
      <c r="AZ23" s="28">
        <f t="shared" si="9"/>
        <v>5346.0618750000003</v>
      </c>
      <c r="BB23" s="26"/>
      <c r="BC23" s="27"/>
      <c r="BD23" s="27"/>
      <c r="BE23" s="27"/>
      <c r="BF23" s="28"/>
      <c r="BG23" s="26"/>
      <c r="BH23" s="27"/>
      <c r="BI23" s="27"/>
      <c r="BJ23" s="27"/>
      <c r="BK23" s="28"/>
    </row>
    <row r="24" spans="2:63" ht="18" customHeight="1" x14ac:dyDescent="0.2">
      <c r="B24" s="55"/>
      <c r="C24" s="29" t="s">
        <v>22</v>
      </c>
      <c r="D24" s="30" t="s">
        <v>19</v>
      </c>
      <c r="E24" s="31">
        <v>330</v>
      </c>
      <c r="F24" s="32">
        <v>410</v>
      </c>
      <c r="G24" s="32">
        <v>630</v>
      </c>
      <c r="H24" s="32">
        <v>830</v>
      </c>
      <c r="I24" s="33">
        <v>1230</v>
      </c>
      <c r="J24" s="31">
        <v>310</v>
      </c>
      <c r="K24" s="32">
        <v>390</v>
      </c>
      <c r="L24" s="32">
        <v>600</v>
      </c>
      <c r="M24" s="32">
        <v>790</v>
      </c>
      <c r="N24" s="33">
        <v>1170</v>
      </c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34"/>
      <c r="AU24" s="35"/>
      <c r="AV24" s="34"/>
      <c r="AZ24" s="35"/>
      <c r="BB24" s="34"/>
      <c r="BF24" s="35"/>
      <c r="BG24" s="34"/>
      <c r="BK24" s="35"/>
    </row>
    <row r="25" spans="2:63" ht="18" customHeight="1" x14ac:dyDescent="0.2">
      <c r="B25" s="55"/>
      <c r="C25" s="29" t="s">
        <v>23</v>
      </c>
      <c r="D25" s="30" t="s">
        <v>20</v>
      </c>
      <c r="E25" s="31">
        <f t="shared" ref="E25:N25" si="10">IF($AT$2=0,0,3600*E22/(4186*(IF($AT$2&gt;0,$N$2-$N$3,$N$3-$N$2))))</f>
        <v>365.84969899665555</v>
      </c>
      <c r="F25" s="32">
        <f t="shared" si="10"/>
        <v>451.15871237458191</v>
      </c>
      <c r="G25" s="32">
        <f t="shared" si="10"/>
        <v>669.28214046822734</v>
      </c>
      <c r="H25" s="32">
        <f t="shared" si="10"/>
        <v>910.93846153846175</v>
      </c>
      <c r="I25" s="33">
        <f t="shared" si="10"/>
        <v>1301.5384615384614</v>
      </c>
      <c r="J25" s="31">
        <f t="shared" si="10"/>
        <v>365.84969899665555</v>
      </c>
      <c r="K25" s="32">
        <f t="shared" si="10"/>
        <v>451.15871237458191</v>
      </c>
      <c r="L25" s="32">
        <f t="shared" si="10"/>
        <v>669.28214046822734</v>
      </c>
      <c r="M25" s="32">
        <f t="shared" si="10"/>
        <v>910.93846153846175</v>
      </c>
      <c r="N25" s="33">
        <f t="shared" si="10"/>
        <v>1301.5384615384614</v>
      </c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34"/>
      <c r="AU25" s="35"/>
      <c r="AV25" s="34"/>
      <c r="AZ25" s="35"/>
      <c r="BB25" s="34"/>
      <c r="BF25" s="35"/>
      <c r="BG25" s="34"/>
      <c r="BK25" s="35"/>
    </row>
    <row r="26" spans="2:63" ht="18" customHeight="1" thickBot="1" x14ac:dyDescent="0.25">
      <c r="B26" s="56"/>
      <c r="C26" s="36" t="s">
        <v>24</v>
      </c>
      <c r="D26" s="37" t="s">
        <v>21</v>
      </c>
      <c r="E26" s="38">
        <f>IF(E25=0,0,0.0120519*E25+12.45213)</f>
        <v>16.861313987337795</v>
      </c>
      <c r="F26" s="39">
        <f t="shared" ref="F26:N26" si="11">IF(F25=0,0,0.0120519*F25+12.45213)</f>
        <v>17.889449685667223</v>
      </c>
      <c r="G26" s="39">
        <f t="shared" si="11"/>
        <v>20.518251428709029</v>
      </c>
      <c r="H26" s="39">
        <f t="shared" si="11"/>
        <v>23.430669244615387</v>
      </c>
      <c r="I26" s="40">
        <f t="shared" si="11"/>
        <v>28.138141384615384</v>
      </c>
      <c r="J26" s="38">
        <f t="shared" si="11"/>
        <v>16.861313987337795</v>
      </c>
      <c r="K26" s="39">
        <f t="shared" si="11"/>
        <v>17.889449685667223</v>
      </c>
      <c r="L26" s="39">
        <f t="shared" si="11"/>
        <v>20.518251428709029</v>
      </c>
      <c r="M26" s="39">
        <f t="shared" si="11"/>
        <v>23.430669244615387</v>
      </c>
      <c r="N26" s="40">
        <f t="shared" si="11"/>
        <v>28.138141384615384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44"/>
      <c r="AR26" s="45"/>
      <c r="AS26" s="45"/>
      <c r="AT26" s="45"/>
      <c r="AU26" s="46"/>
      <c r="AV26" s="44"/>
      <c r="AW26" s="45"/>
      <c r="AX26" s="45"/>
      <c r="AY26" s="45"/>
      <c r="AZ26" s="46"/>
      <c r="BB26" s="44"/>
      <c r="BC26" s="45"/>
      <c r="BD26" s="45"/>
      <c r="BE26" s="45"/>
      <c r="BF26" s="46"/>
      <c r="BG26" s="44"/>
      <c r="BH26" s="45"/>
      <c r="BI26" s="45"/>
      <c r="BJ26" s="45"/>
      <c r="BK26" s="46"/>
    </row>
    <row r="27" spans="2:63" ht="18" customHeight="1" x14ac:dyDescent="0.2">
      <c r="B27" s="47"/>
      <c r="C27" s="47"/>
      <c r="D27" s="48"/>
      <c r="E27" s="48"/>
      <c r="F27" s="49"/>
      <c r="G27" s="49"/>
      <c r="H27" s="49"/>
      <c r="I27" s="49"/>
      <c r="J27" s="49"/>
      <c r="K27" s="49"/>
      <c r="L27" s="49"/>
      <c r="M27" s="49"/>
      <c r="N27" s="49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7">
        <f>-0.178*K27^2+77.349*K27</f>
        <v>0</v>
      </c>
      <c r="AR27" s="27">
        <f>-0.325*K27^2+99.737*K27</f>
        <v>0</v>
      </c>
      <c r="AS27" s="27">
        <f>0.05*K27^2+141.291*K27</f>
        <v>0</v>
      </c>
      <c r="AT27" s="27">
        <f>0.242*K27^2+191.531*K27</f>
        <v>0</v>
      </c>
      <c r="AU27" s="27">
        <f>1.488*K27^2+252.36*K27</f>
        <v>0</v>
      </c>
    </row>
    <row r="28" spans="2:63" ht="18" customHeight="1" x14ac:dyDescent="0.2">
      <c r="B28" s="47"/>
      <c r="C28" s="47"/>
      <c r="D28" s="48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7"/>
      <c r="AR28" s="27"/>
      <c r="AS28" s="27"/>
      <c r="AT28" s="27"/>
      <c r="AU28" s="27"/>
    </row>
    <row r="29" spans="2:63" ht="18" customHeight="1" x14ac:dyDescent="0.2"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</row>
    <row r="30" spans="2:63" ht="18" customHeight="1" x14ac:dyDescent="0.2"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</row>
    <row r="31" spans="2:63" ht="18" customHeight="1" x14ac:dyDescent="0.2"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</row>
  </sheetData>
  <sheetProtection algorithmName="SHA-512" hashValue="fH4tbcG3TZmKavHOMy3ja3xMZG0hnKSksD7TAaGDyeR1UenMDNJlP+vQrHxq/G62SKsw37Moyuqt/yqRscsJZQ==" saltValue="jsTL0w1IHOKxNsiowaMzOA==" spinCount="100000" sheet="1" formatCells="0" formatColumns="0" formatRows="0" insertColumns="0" insertRows="0" insertHyperlinks="0" deleteColumns="0" deleteRows="0" sort="0" autoFilter="0" pivotTables="0"/>
  <mergeCells count="15">
    <mergeCell ref="B22:B26"/>
    <mergeCell ref="AQ2:AS2"/>
    <mergeCell ref="AR3:AS3"/>
    <mergeCell ref="E5:J7"/>
    <mergeCell ref="L5:M5"/>
    <mergeCell ref="B10:B11"/>
    <mergeCell ref="C10:D11"/>
    <mergeCell ref="E10:I10"/>
    <mergeCell ref="J10:N10"/>
    <mergeCell ref="AQ10:AU10"/>
    <mergeCell ref="AV10:AZ10"/>
    <mergeCell ref="BB10:BF10"/>
    <mergeCell ref="BG10:BK10"/>
    <mergeCell ref="B12:B16"/>
    <mergeCell ref="B17:B21"/>
  </mergeCells>
  <conditionalFormatting sqref="B12:N12 C13:N16">
    <cfRule type="expression" dxfId="7" priority="2">
      <formula>$N$2&gt;$N$3</formula>
    </cfRule>
    <cfRule type="expression" dxfId="6" priority="3">
      <formula>$N$2&lt;$N$3</formula>
    </cfRule>
  </conditionalFormatting>
  <conditionalFormatting sqref="B17:N17 C18:N21">
    <cfRule type="expression" dxfId="5" priority="4">
      <formula>$N$2&gt;$N$3</formula>
    </cfRule>
    <cfRule type="expression" dxfId="4" priority="5">
      <formula>$N$2&lt;$N$3</formula>
    </cfRule>
  </conditionalFormatting>
  <conditionalFormatting sqref="B22:N22 C23:N26">
    <cfRule type="expression" dxfId="3" priority="6">
      <formula>$N$2&gt;$N$3</formula>
    </cfRule>
    <cfRule type="expression" dxfId="2" priority="7">
      <formula>$N$2&lt;$N$3</formula>
    </cfRule>
  </conditionalFormatting>
  <conditionalFormatting sqref="E12:N13 E17:N18 E22:N23">
    <cfRule type="cellIs" dxfId="1" priority="1" operator="between">
      <formula>$AQ$6</formula>
      <formula>$AR$6</formula>
    </cfRule>
  </conditionalFormatting>
  <conditionalFormatting sqref="K3:N3">
    <cfRule type="expression" dxfId="0" priority="8">
      <formula>$M$3="Outlet water t. must be &lt; than room t."</formula>
    </cfRule>
  </conditionalFormatting>
  <printOptions horizontalCentered="1"/>
  <pageMargins left="0.9055118110236221" right="0.51181102362204722" top="0.55118110236220474" bottom="0.35433070866141736" header="0.31496062992125984" footer="0.31496062992125984"/>
  <pageSetup scale="6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Darbalapiai</vt:lpstr>
      </vt:variant>
      <vt:variant>
        <vt:i4>1</vt:i4>
      </vt:variant>
      <vt:variant>
        <vt:lpstr>Įvardytieji diapazonai</vt:lpstr>
      </vt:variant>
      <vt:variant>
        <vt:i4>1</vt:i4>
      </vt:variant>
    </vt:vector>
  </HeadingPairs>
  <TitlesOfParts>
    <vt:vector size="2" baseType="lpstr">
      <vt:lpstr>CF select LT</vt:lpstr>
      <vt:lpstr>'CF select LT'!Print_Area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Donatas Grigonis</dc:creator>
  <cp:lastModifiedBy>Edita Edita</cp:lastModifiedBy>
  <cp:lastPrinted>2025-04-05T09:05:05Z</cp:lastPrinted>
  <dcterms:created xsi:type="dcterms:W3CDTF">2025-04-05T08:58:16Z</dcterms:created>
  <dcterms:modified xsi:type="dcterms:W3CDTF">2025-04-30T07:49:29Z</dcterms:modified>
</cp:coreProperties>
</file>